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showInkAnnotation="0" codeName="ThisWorkbook" defaultThemeVersion="124226"/>
  <xr:revisionPtr revIDLastSave="0" documentId="8_{69A315B9-EACD-4926-B052-9B7B45BC598B}" xr6:coauthVersionLast="47" xr6:coauthVersionMax="47" xr10:uidLastSave="{00000000-0000-0000-0000-000000000000}"/>
  <workbookProtection workbookAlgorithmName="SHA-256" workbookHashValue="QJWRjtFTtBBp8DP5k7YEBW/LYZP1afsErmJZVnLmsZs=" workbookSaltValue="DHJqyrz9kFlVo/PL5qrZ5Q==" workbookSpinCount="100000" lockStructure="1"/>
  <bookViews>
    <workbookView xWindow="-120" yWindow="-120" windowWidth="16440" windowHeight="28320" activeTab="1" xr2:uid="{00000000-000D-0000-FFFF-FFFF00000000}"/>
  </bookViews>
  <sheets>
    <sheet name="Entry Form" sheetId="4" r:id="rId1"/>
    <sheet name="Summary" sheetId="6" r:id="rId2"/>
    <sheet name="Formulas" sheetId="5" state="hidden" r:id="rId3"/>
    <sheet name="Text" sheetId="7" state="hidden" r:id="rId4"/>
  </sheets>
  <definedNames>
    <definedName name="_xlnm._FilterDatabase" localSheetId="0" hidden="1">'Entry Form'!$F$1:$G$409</definedName>
    <definedName name="_xlnm._FilterDatabase" localSheetId="2" hidden="1">Formulas!$B$1:$I$163</definedName>
    <definedName name="abnumber">Formulas!$C$2:$C$167</definedName>
    <definedName name="agencyname">Formulas!$B$2:$B$167</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Formulas!$D$2:$D$167</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Formulas!$H$2:$H$167</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Formulas!$N$2:$N$170</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Formulas!$G$2:$G$167</definedName>
    <definedName name="malenumbers">'Entry Form'!$C$48,'Entry Form'!$C$60,'Entry Form'!$C$73,'Entry Form'!$C$85</definedName>
    <definedName name="malesum">'Entry Form'!$C$49,'Entry Form'!$C$61,'Entry Form'!$C$74,'Entry Form'!$C$86</definedName>
    <definedName name="O">Formulas!$P$2:$P$3</definedName>
    <definedName name="onthepanel">Formulas!$E$2:$E$167</definedName>
    <definedName name="panelfee">Formulas!$I$2:$I$167</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Formulas!$F$2:$F$167</definedName>
    <definedName name="xnumbers">'Entry Form'!$C$54,'Entry Form'!$C$66,'Entry Form'!$C$79,'Entry Form'!$C$91</definedName>
    <definedName name="xsum">'Entry Form'!$C$92,'Entry Form'!$C$80,'Entry Form'!$C$67,'Entry Form'!$C$55</definedName>
    <definedName name="yesno">Formulas!$K$2:$K$3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A12" i="4"/>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2" i="4" s="1"/>
  <c r="B101" i="4" l="1"/>
  <c r="E101" i="4" s="1"/>
  <c r="D101" i="4" l="1"/>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A404" i="4"/>
  <c r="D405" i="4"/>
  <c r="D406" i="4"/>
  <c r="E404" i="4"/>
  <c r="B9" i="6" l="1"/>
  <c r="B29" i="6"/>
  <c r="D29" i="6"/>
  <c r="C19" i="6"/>
  <c r="B15" i="6"/>
  <c r="A10" i="6"/>
  <c r="B19" i="6"/>
  <c r="C23" i="6"/>
  <c r="A9" i="6"/>
  <c r="B20" i="6"/>
  <c r="C24" i="6"/>
  <c r="C18" i="6"/>
  <c r="B11" i="6"/>
  <c r="B26" i="6"/>
  <c r="A13" i="6"/>
  <c r="B22" i="6"/>
  <c r="B21" i="6"/>
  <c r="B8" i="6"/>
  <c r="C17" i="6"/>
  <c r="C26" i="6"/>
  <c r="B23" i="6"/>
  <c r="A12" i="6"/>
  <c r="C22" i="6"/>
  <c r="B24" i="6"/>
  <c r="B16" i="6"/>
  <c r="B25" i="6"/>
  <c r="B18" i="6"/>
  <c r="C20" i="6"/>
  <c r="C27" i="6"/>
  <c r="C25" i="6"/>
  <c r="B27" i="6"/>
  <c r="B13" i="6"/>
  <c r="B5" i="6"/>
  <c r="E29" i="6"/>
  <c r="B47" i="6"/>
  <c r="E47" i="6" s="1"/>
  <c r="C21" i="6"/>
  <c r="B12" i="6"/>
  <c r="B6" i="6"/>
  <c r="B17" i="6"/>
  <c r="B10" i="6"/>
  <c r="A11" i="6"/>
  <c r="B30" i="6"/>
  <c r="B31" i="6" l="1"/>
  <c r="B34" i="6"/>
  <c r="B33" i="6"/>
  <c r="C16" i="6"/>
  <c r="B42" i="6"/>
  <c r="B43" i="6"/>
  <c r="B38" i="6"/>
  <c r="B36" i="6"/>
  <c r="C33" i="6"/>
  <c r="A42" i="6"/>
  <c r="A43" i="6"/>
  <c r="B37" i="6"/>
  <c r="C34" i="6"/>
  <c r="C38" i="6" s="1"/>
  <c r="B44" i="6"/>
  <c r="C37" i="6" l="1"/>
  <c r="C36" i="6"/>
  <c r="B40" i="6" l="1"/>
  <c r="C45" i="6" s="1"/>
  <c r="D47" i="6" s="1"/>
  <c r="B48" i="6" s="1"/>
  <c r="B53" i="6" s="1"/>
  <c r="E53" i="6" s="1"/>
  <c r="D53" i="6" l="1"/>
  <c r="B54" i="6" s="1"/>
  <c r="B51" i="6"/>
  <c r="B50" i="6"/>
  <c r="B127" i="6" l="1"/>
  <c r="B126" i="6"/>
  <c r="C127" i="6"/>
  <c r="B118" i="6"/>
  <c r="C126" i="6"/>
  <c r="C90" i="6"/>
  <c r="C80" i="6"/>
  <c r="C179" i="6"/>
  <c r="B185" i="6"/>
  <c r="B179" i="6"/>
  <c r="B144" i="6"/>
  <c r="C180" i="6"/>
  <c r="B89" i="6"/>
  <c r="C109" i="6"/>
  <c r="B182" i="6"/>
  <c r="C147" i="6"/>
  <c r="B107" i="6"/>
  <c r="A118" i="6"/>
  <c r="B73" i="6"/>
  <c r="C100" i="6"/>
  <c r="B146" i="6"/>
  <c r="B141" i="6"/>
  <c r="C101" i="6"/>
  <c r="C134" i="6"/>
  <c r="C82" i="6"/>
  <c r="A78" i="6"/>
  <c r="C121" i="6"/>
  <c r="B69" i="6"/>
  <c r="B148" i="6"/>
  <c r="B106" i="6"/>
  <c r="C144" i="6"/>
  <c r="B175" i="6"/>
  <c r="B104" i="6"/>
  <c r="B90" i="6"/>
  <c r="C184" i="6"/>
  <c r="C177" i="6"/>
  <c r="B159" i="6"/>
  <c r="B153" i="6"/>
  <c r="C105" i="6"/>
  <c r="B63" i="6"/>
  <c r="C116" i="6"/>
  <c r="B135" i="6"/>
  <c r="B56" i="6"/>
  <c r="C157" i="6"/>
  <c r="B183" i="6"/>
  <c r="C107" i="6"/>
  <c r="C98" i="6"/>
  <c r="B178" i="6"/>
  <c r="C60" i="6"/>
  <c r="B187" i="6"/>
  <c r="C66" i="6"/>
  <c r="C170" i="6"/>
  <c r="B61" i="6"/>
  <c r="B138" i="6"/>
  <c r="C149" i="6"/>
  <c r="B91" i="6"/>
  <c r="B170" i="6"/>
  <c r="B96" i="6"/>
  <c r="B160" i="6"/>
  <c r="B173" i="6"/>
  <c r="A73" i="6"/>
  <c r="B186" i="6"/>
  <c r="C151" i="6"/>
  <c r="B174" i="6"/>
  <c r="C176" i="6"/>
  <c r="B66" i="6"/>
  <c r="A69" i="6"/>
  <c r="C106" i="6"/>
  <c r="A114" i="6"/>
  <c r="A138" i="6"/>
  <c r="B94" i="6"/>
  <c r="C169" i="6"/>
  <c r="B93" i="6"/>
  <c r="C173" i="6"/>
  <c r="C142" i="6"/>
  <c r="A96" i="6"/>
  <c r="B111" i="6"/>
  <c r="C97" i="6"/>
  <c r="A141" i="6"/>
  <c r="C102" i="6"/>
  <c r="B78" i="6"/>
  <c r="C146" i="6"/>
  <c r="B177" i="6"/>
  <c r="B157" i="6"/>
  <c r="C148" i="6"/>
  <c r="B143" i="6"/>
  <c r="C124" i="6"/>
  <c r="C160" i="6"/>
  <c r="B129" i="6"/>
  <c r="C71" i="6"/>
  <c r="B84" i="6"/>
  <c r="C65" i="6"/>
  <c r="C163" i="6"/>
  <c r="B171" i="6"/>
  <c r="C171" i="6"/>
  <c r="B165" i="6"/>
  <c r="A133" i="6"/>
  <c r="C99" i="6"/>
  <c r="C161" i="6"/>
  <c r="C158" i="6"/>
  <c r="C187" i="6"/>
  <c r="C182" i="6"/>
  <c r="C139" i="6"/>
  <c r="B86" i="6"/>
  <c r="B142" i="6"/>
  <c r="B162" i="6"/>
  <c r="C178" i="6"/>
  <c r="C185" i="6"/>
  <c r="B151" i="6"/>
  <c r="C174" i="6"/>
  <c r="B75" i="6"/>
  <c r="B108" i="6"/>
  <c r="B88" i="6"/>
  <c r="B116" i="6"/>
  <c r="C67" i="6"/>
  <c r="B85" i="6"/>
  <c r="B156" i="6"/>
  <c r="C153" i="6"/>
  <c r="B97" i="6"/>
  <c r="B166" i="6"/>
  <c r="C61" i="6"/>
  <c r="B67" i="6"/>
  <c r="B163" i="6"/>
  <c r="C91" i="6"/>
  <c r="C165" i="6"/>
  <c r="B120" i="6"/>
  <c r="B136" i="6"/>
  <c r="C87" i="6"/>
  <c r="B164" i="6"/>
  <c r="C145" i="6"/>
  <c r="B152" i="6"/>
  <c r="C183" i="6"/>
  <c r="C166" i="6"/>
  <c r="B98" i="6"/>
  <c r="B155" i="6"/>
  <c r="C135" i="6"/>
  <c r="B181" i="6"/>
  <c r="C189" i="6"/>
  <c r="C154" i="6"/>
  <c r="B158" i="6"/>
  <c r="B168" i="6"/>
  <c r="B131" i="6"/>
  <c r="C143" i="6"/>
  <c r="B147" i="6"/>
  <c r="B149" i="6"/>
  <c r="A129" i="6"/>
  <c r="B154" i="6"/>
  <c r="B65" i="6"/>
  <c r="B172" i="6"/>
  <c r="B167" i="6"/>
  <c r="C152" i="6"/>
  <c r="C168" i="6"/>
  <c r="B71" i="6"/>
  <c r="B100" i="6"/>
  <c r="C104" i="6"/>
  <c r="B87" i="6"/>
  <c r="B180" i="6"/>
  <c r="C167" i="6"/>
  <c r="B105" i="6"/>
  <c r="C181" i="6"/>
  <c r="B103" i="6"/>
  <c r="B60" i="6"/>
  <c r="C164" i="6"/>
  <c r="C155" i="6"/>
  <c r="B145" i="6"/>
  <c r="C89" i="6"/>
  <c r="B114" i="6"/>
  <c r="B102" i="6"/>
  <c r="B184" i="6"/>
  <c r="B109" i="6"/>
  <c r="B101" i="6"/>
  <c r="B188" i="6"/>
  <c r="B80" i="6"/>
  <c r="C188" i="6"/>
  <c r="C123" i="6"/>
  <c r="C79" i="6"/>
  <c r="B134" i="6"/>
  <c r="B81" i="6"/>
  <c r="C150" i="6"/>
  <c r="C81" i="6"/>
  <c r="B99" i="6"/>
  <c r="B189" i="6"/>
  <c r="C156" i="6"/>
  <c r="C175" i="6"/>
  <c r="C162" i="6"/>
  <c r="B76" i="6"/>
  <c r="C172" i="6"/>
  <c r="C84" i="6"/>
  <c r="B79" i="6"/>
  <c r="B176" i="6"/>
  <c r="C120" i="6"/>
  <c r="B121" i="6" s="1"/>
  <c r="C136" i="6"/>
  <c r="C83" i="6"/>
  <c r="C86" i="6"/>
  <c r="C159" i="6"/>
  <c r="B150" i="6"/>
  <c r="B139" i="6"/>
  <c r="B133" i="6"/>
  <c r="C88" i="6"/>
  <c r="C108" i="6"/>
  <c r="B82" i="6"/>
  <c r="C186" i="6"/>
  <c r="B112" i="6"/>
  <c r="B83" i="6"/>
  <c r="B169" i="6"/>
  <c r="B161" i="6"/>
  <c r="B124" i="6" l="1"/>
  <c r="B123" i="6"/>
  <c r="C131" i="6"/>
  <c r="C112" i="6"/>
  <c r="C111" i="6"/>
  <c r="C94" i="6"/>
  <c r="C93" i="6"/>
  <c r="C76" i="6" l="1"/>
  <c r="C75" i="6"/>
</calcChain>
</file>

<file path=xl/sharedStrings.xml><?xml version="1.0" encoding="utf-8"?>
<sst xmlns="http://schemas.openxmlformats.org/spreadsheetml/2006/main" count="1956" uniqueCount="736">
  <si>
    <t>Ashurst</t>
  </si>
  <si>
    <t>Australian Government Solicitor</t>
  </si>
  <si>
    <t>Clayton Utz</t>
  </si>
  <si>
    <t>Corrs Chambers Westgarth</t>
  </si>
  <si>
    <t>DLA Piper</t>
  </si>
  <si>
    <t>Herbert Smith Freehills</t>
  </si>
  <si>
    <t>Johnson Winter &amp; Slattery</t>
  </si>
  <si>
    <t>K&amp;L Gates</t>
  </si>
  <si>
    <t>Maddocks</t>
  </si>
  <si>
    <t>Sparke Helmore</t>
  </si>
  <si>
    <t>Overseas firms (single total figure, individual firm names not required)</t>
  </si>
  <si>
    <t>Norton Rose Fulbright</t>
  </si>
  <si>
    <t>Department of Foreign Affairs and Trade</t>
  </si>
  <si>
    <t>Office of Parliamentary Counsel</t>
  </si>
  <si>
    <t>Disbursements</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</si>
  <si>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</si>
  <si>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</si>
  <si>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</si>
  <si>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</si>
  <si>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</si>
  <si>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</si>
  <si>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</si>
  <si>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</si>
  <si>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</si>
  <si>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</si>
  <si>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</si>
  <si>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</si>
  <si>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</si>
  <si>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</si>
  <si>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</si>
  <si>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</si>
  <si>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</si>
  <si>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</si>
  <si>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</si>
  <si>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</si>
  <si>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</si>
  <si>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</si>
  <si>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</si>
  <si>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</si>
  <si>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</si>
  <si>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</si>
  <si>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</si>
  <si>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</si>
  <si>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Lexbridge Lawyers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</si>
  <si>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</si>
  <si>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</si>
  <si>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</si>
  <si>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</si>
  <si>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</si>
  <si>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</si>
  <si>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</si>
  <si>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</si>
  <si>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</si>
  <si>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</si>
  <si>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</si>
  <si>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</si>
  <si>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</si>
  <si>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</si>
  <si>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</si>
  <si>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</si>
  <si>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</si>
  <si>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</si>
  <si>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</si>
  <si>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Template Guidance</t>
  </si>
  <si>
    <t>Professional Fees for work done by non-Panel firms with an Exemption from AGD</t>
  </si>
  <si>
    <t>Professional Fees for work done by non-Panel firms as part of 10% off-Panel allowance</t>
  </si>
  <si>
    <t>Whole of Australian Government Legal Services Panel</t>
  </si>
  <si>
    <t>Craddock Murray Neumann</t>
  </si>
  <si>
    <t>Piper Alderman</t>
  </si>
  <si>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</si>
  <si>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</si>
  <si>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</si>
  <si>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</si>
  <si>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</si>
  <si>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</si>
  <si>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</si>
  <si>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</si>
  <si>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</si>
  <si>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</si>
  <si>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</si>
  <si>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</si>
  <si>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</si>
  <si>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</si>
  <si>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</si>
  <si>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</si>
  <si>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</si>
  <si>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</si>
  <si>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</si>
  <si>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</si>
  <si>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</si>
  <si>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</si>
  <si>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</si>
  <si>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</si>
  <si>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</si>
  <si>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</si>
  <si>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</si>
  <si>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</si>
  <si>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</si>
  <si>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</si>
  <si>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</si>
  <si>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</si>
  <si>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</si>
  <si>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</si>
  <si>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</si>
  <si>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</si>
  <si>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</si>
  <si>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</si>
  <si>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</si>
  <si>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Arnold Bloch Leibler</t>
  </si>
  <si>
    <t>Midena Lawyers</t>
  </si>
  <si>
    <t>Jaramer Legal</t>
  </si>
  <si>
    <t>Seyfarth Shaw Australia</t>
  </si>
  <si>
    <t>Kingston Reid</t>
  </si>
  <si>
    <t>Wallmans Lawyers</t>
  </si>
  <si>
    <t>Spruson &amp; Ferguson</t>
  </si>
  <si>
    <t>Bowden McCormack</t>
  </si>
  <si>
    <t>VMC Legal Pty Ltd</t>
  </si>
  <si>
    <t>Crawshaw Consulting</t>
  </si>
  <si>
    <t>Comhar Group</t>
  </si>
  <si>
    <t>Bird &amp; Bird</t>
  </si>
  <si>
    <t>Simpsons Solicitors</t>
  </si>
  <si>
    <t>Banki Haddock Fiora</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</si>
  <si>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</si>
  <si>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</si>
  <si>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</si>
  <si>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</si>
  <si>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</si>
  <si>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</si>
  <si>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</si>
  <si>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</si>
  <si>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</si>
  <si>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</si>
  <si>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</si>
  <si>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</si>
  <si>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50 802 255 175</t>
  </si>
  <si>
    <t>38 392 626 187</t>
  </si>
  <si>
    <t>Australian Bureau of Statistics</t>
  </si>
  <si>
    <t>26 331 428 522</t>
  </si>
  <si>
    <t>Australian Centre for International Agricultural Research</t>
  </si>
  <si>
    <t>34 864 955 427</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</si>
  <si>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</si>
  <si>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</si>
  <si>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</si>
  <si>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</si>
  <si>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</si>
  <si>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</si>
  <si>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</si>
  <si>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</si>
  <si>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</si>
  <si>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</si>
  <si>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</si>
  <si>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</si>
  <si>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</si>
  <si>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</si>
  <si>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</si>
  <si>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</si>
  <si>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</si>
  <si>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</si>
  <si>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</si>
  <si>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</si>
  <si>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</si>
  <si>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</si>
  <si>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</si>
  <si>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</si>
  <si>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</si>
  <si>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</si>
  <si>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</si>
  <si>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</si>
  <si>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</si>
  <si>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</si>
  <si>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</si>
  <si>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</si>
  <si>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</si>
  <si>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</si>
  <si>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</si>
  <si>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</si>
  <si>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</si>
  <si>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</si>
  <si>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</si>
  <si>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</si>
  <si>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</si>
  <si>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</si>
  <si>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</si>
  <si>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</si>
  <si>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</si>
  <si>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</si>
  <si>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</si>
  <si>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</si>
  <si>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</si>
  <si>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</si>
  <si>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</si>
  <si>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</si>
  <si>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</si>
  <si>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</si>
  <si>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</si>
  <si>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</si>
  <si>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</si>
  <si>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</si>
  <si>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</si>
  <si>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</si>
  <si>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</si>
  <si>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</si>
  <si>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</si>
  <si>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</si>
  <si>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</si>
  <si>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</si>
  <si>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</si>
  <si>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</si>
  <si>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</si>
  <si>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</si>
  <si>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</si>
  <si>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</si>
  <si>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</si>
  <si>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</si>
  <si>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</si>
  <si>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</si>
  <si>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</si>
  <si>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</si>
  <si>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</si>
  <si>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</si>
  <si>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</si>
  <si>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Central Land Council</t>
  </si>
  <si>
    <t>Civil Aviation Safety Authority</t>
  </si>
  <si>
    <t>44 808 014 470</t>
  </si>
  <si>
    <t>Clean Energy Finance Corporation</t>
  </si>
  <si>
    <t>43 669 904 352</t>
  </si>
  <si>
    <t>Clean Energy Regulator</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</si>
  <si>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</si>
  <si>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</si>
  <si>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</si>
  <si>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</si>
  <si>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</si>
  <si>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</si>
  <si>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</si>
  <si>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</si>
  <si>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</si>
  <si>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</si>
  <si>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</si>
  <si>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</si>
  <si>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</si>
  <si>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</si>
  <si>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Defence</t>
  </si>
  <si>
    <t>68 706 814 312</t>
  </si>
  <si>
    <t>12 862 898 150</t>
  </si>
  <si>
    <t>Department of Finance</t>
  </si>
  <si>
    <t>61 970 632 495</t>
  </si>
  <si>
    <t>47 065 634 525</t>
  </si>
  <si>
    <t>83 605 426 759</t>
  </si>
  <si>
    <t>Department of Home Affairs</t>
  </si>
  <si>
    <t>33 380 054 835</t>
  </si>
  <si>
    <t>74 599 608 295</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</si>
  <si>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</si>
  <si>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</si>
  <si>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</si>
  <si>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</si>
  <si>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</si>
  <si>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</si>
  <si>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</si>
  <si>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</si>
  <si>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</si>
  <si>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</si>
  <si>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</si>
  <si>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</si>
  <si>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</si>
  <si>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</si>
  <si>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</si>
  <si>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</si>
  <si>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</si>
  <si>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</si>
  <si>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</si>
  <si>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</si>
  <si>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</si>
  <si>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</si>
  <si>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</si>
  <si>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</si>
  <si>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</si>
  <si>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</si>
  <si>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</si>
  <si>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</si>
  <si>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Grains Research and Development Corporation</t>
  </si>
  <si>
    <t>55 611 223 291</t>
  </si>
  <si>
    <t>Great Barrier Reef Marine Park Authority</t>
  </si>
  <si>
    <t>12 949 356 885</t>
  </si>
  <si>
    <t>27 598 959 960</t>
  </si>
  <si>
    <t>Independent Parliamentary Expenses Authority</t>
  </si>
  <si>
    <t>Indigenous Business Australia</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</si>
  <si>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</si>
  <si>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</si>
  <si>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</si>
  <si>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</si>
  <si>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</si>
  <si>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</si>
  <si>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</si>
  <si>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</si>
  <si>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</si>
  <si>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</si>
  <si>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</si>
  <si>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</si>
  <si>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</si>
  <si>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</si>
  <si>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</si>
  <si>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</si>
  <si>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</si>
  <si>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</si>
  <si>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</si>
  <si>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</si>
  <si>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</si>
  <si>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</si>
  <si>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</si>
  <si>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</si>
  <si>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</si>
  <si>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</si>
  <si>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</si>
  <si>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</si>
  <si>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</si>
  <si>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</si>
  <si>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</si>
  <si>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</si>
  <si>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</si>
  <si>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</si>
  <si>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</si>
  <si>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</si>
  <si>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</si>
  <si>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</si>
  <si>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</si>
  <si>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</si>
  <si>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</si>
  <si>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</si>
  <si>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</si>
  <si>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</si>
  <si>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</si>
  <si>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83 960 779 392</t>
  </si>
  <si>
    <t>Northern Land Council</t>
  </si>
  <si>
    <t>41 425 630 817</t>
  </si>
  <si>
    <t>Office of the Auditing and Assurance Standards Board</t>
  </si>
  <si>
    <t>80 959 780 601</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</si>
  <si>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</si>
  <si>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</si>
  <si>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</si>
  <si>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</si>
  <si>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</si>
  <si>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</si>
  <si>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</si>
  <si>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</si>
  <si>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</si>
  <si>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</si>
  <si>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</si>
  <si>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</si>
  <si>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</si>
  <si>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</si>
  <si>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</si>
  <si>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</si>
  <si>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</si>
  <si>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</si>
  <si>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</si>
  <si>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</si>
  <si>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</si>
  <si>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</si>
  <si>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</si>
  <si>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</si>
  <si>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</si>
  <si>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</si>
  <si>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</si>
  <si>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</si>
  <si>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</si>
  <si>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</si>
  <si>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</si>
  <si>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</si>
  <si>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</si>
  <si>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</si>
  <si>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</si>
  <si>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</si>
  <si>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</si>
  <si>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</si>
  <si>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</si>
  <si>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</si>
  <si>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</si>
  <si>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</si>
  <si>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</si>
  <si>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</si>
  <si>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</si>
  <si>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</si>
  <si>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</si>
  <si>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</si>
  <si>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</si>
  <si>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</si>
  <si>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</si>
  <si>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</si>
  <si>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</si>
  <si>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</si>
  <si>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</si>
  <si>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</si>
  <si>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</si>
  <si>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</si>
  <si>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</si>
  <si>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</si>
  <si>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</si>
  <si>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</si>
  <si>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</si>
  <si>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</si>
  <si>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</si>
  <si>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</si>
  <si>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</si>
  <si>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</si>
  <si>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</si>
  <si>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</si>
  <si>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</si>
  <si>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</si>
  <si>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</si>
  <si>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</si>
  <si>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</si>
  <si>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</si>
  <si>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</si>
  <si>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</si>
  <si>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</si>
  <si>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</si>
  <si>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</si>
  <si>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</si>
  <si>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</si>
  <si>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</si>
  <si>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</si>
  <si>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</si>
  <si>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</si>
  <si>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</si>
  <si>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</si>
  <si>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</si>
  <si>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</si>
  <si>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</si>
  <si>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</si>
  <si>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</si>
  <si>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</si>
  <si>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</si>
  <si>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</si>
  <si>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</si>
  <si>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</si>
  <si>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</si>
  <si>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</si>
  <si>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</si>
  <si>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</si>
  <si>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</si>
  <si>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</si>
  <si>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</si>
  <si>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</si>
  <si>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</si>
  <si>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</si>
  <si>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</si>
  <si>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</si>
  <si>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</si>
  <si>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</si>
  <si>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</si>
  <si>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</si>
  <si>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</si>
  <si>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</si>
  <si>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</si>
  <si>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</si>
  <si>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</si>
  <si>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</si>
  <si>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</si>
  <si>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</si>
  <si>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</si>
  <si>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</si>
  <si>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</si>
  <si>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</si>
  <si>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</si>
  <si>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</si>
  <si>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</si>
  <si>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</si>
  <si>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</si>
  <si>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</si>
  <si>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</si>
  <si>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</si>
  <si>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</si>
  <si>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</si>
  <si>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</si>
  <si>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</si>
  <si>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</si>
  <si>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</si>
  <si>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</si>
  <si>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</si>
  <si>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</si>
  <si>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</si>
  <si>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</si>
  <si>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</si>
  <si>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</si>
  <si>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</si>
  <si>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</si>
  <si>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</si>
  <si>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</si>
  <si>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</si>
  <si>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</si>
  <si>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</si>
  <si>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</si>
  <si>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</si>
  <si>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</si>
  <si>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</si>
  <si>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</si>
  <si>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</si>
  <si>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</si>
  <si>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</si>
  <si>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</si>
  <si>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</si>
  <si>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</si>
  <si>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</si>
  <si>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</si>
  <si>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</si>
  <si>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</si>
  <si>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</si>
  <si>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</si>
  <si>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</si>
  <si>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</si>
  <si>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</si>
  <si>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</si>
  <si>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</si>
  <si>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</si>
  <si>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</si>
  <si>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</si>
  <si>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</si>
  <si>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</si>
  <si>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</si>
  <si>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</si>
  <si>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</si>
  <si>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</si>
  <si>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</si>
  <si>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</si>
  <si>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</si>
  <si>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</si>
  <si>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</si>
  <si>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</si>
  <si>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</si>
  <si>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</si>
  <si>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</si>
  <si>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</si>
  <si>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</si>
  <si>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</si>
  <si>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</si>
  <si>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</si>
  <si>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</si>
  <si>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</si>
  <si>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</si>
  <si>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</si>
  <si>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</si>
  <si>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</si>
  <si>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</si>
  <si>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</si>
  <si>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</si>
  <si>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</si>
  <si>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</si>
  <si>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</si>
  <si>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</si>
  <si>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</si>
  <si>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</si>
  <si>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</si>
  <si>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</si>
  <si>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</si>
  <si>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</si>
  <si>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</si>
  <si>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</si>
  <si>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</si>
  <si>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</si>
  <si>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</si>
  <si>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</si>
  <si>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</si>
  <si>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</si>
  <si>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</si>
  <si>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</si>
  <si>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Is another domestic provider required?</t>
  </si>
  <si>
    <t>Indirect Briefs to male senior counsel</t>
  </si>
  <si>
    <t>Indirect Briefs to female senior counsel</t>
  </si>
  <si>
    <t>Indirect Briefs to gender X senior counsel</t>
  </si>
  <si>
    <t>Entity Details</t>
  </si>
  <si>
    <t>What is the name of your entity? (Choose from list)</t>
  </si>
  <si>
    <t>ENTITY NOT LISTED</t>
  </si>
  <si>
    <t>26 424 781 530</t>
  </si>
  <si>
    <t>LK Law Pty Ltd</t>
  </si>
  <si>
    <t xml:space="preserve">Adaptbl </t>
  </si>
  <si>
    <t>Addisons</t>
  </si>
  <si>
    <t>Balazs Lazanas &amp; Welch LLP</t>
  </si>
  <si>
    <t>Beach Street Lawyers</t>
  </si>
  <si>
    <t>Buse Heberer Fromm Pty Ltd</t>
  </si>
  <si>
    <t>Clyde &amp; Co Australia</t>
  </si>
  <si>
    <t>Darwin NT Lawyers</t>
  </si>
  <si>
    <t>De Silva Hebron</t>
  </si>
  <si>
    <t>DFC Legal Pty Ltd</t>
  </si>
  <si>
    <t>EI Legal</t>
  </si>
  <si>
    <t>Ellery Brookman</t>
  </si>
  <si>
    <t>Franklin Athanasellis Cullen</t>
  </si>
  <si>
    <t>Hamilton Locke</t>
  </si>
  <si>
    <t>Loupe Legal Pty Ltd</t>
  </si>
  <si>
    <t xml:space="preserve">Maley Barristers &amp; Solicitors </t>
  </si>
  <si>
    <t>MPS Law</t>
  </si>
  <si>
    <t>Pendlebury Workplace Law</t>
  </si>
  <si>
    <t>People &amp; Culture Strategies Pty Limited</t>
  </si>
  <si>
    <t>Plexus Services Pty Ltd</t>
  </si>
  <si>
    <t>Somerville Legal</t>
  </si>
  <si>
    <t>Twine Business &amp; Law Pty Ltd</t>
  </si>
  <si>
    <t>Vincent Young</t>
  </si>
  <si>
    <t>Ward Keller</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</si>
  <si>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</si>
  <si>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</si>
  <si>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 xml:space="preserve">
The figures must be whole dollar amounts, GST exclusive. Figures including cents will not be accepted. If there was no expenditure, enter '0' for a value of $0.
</t>
  </si>
  <si>
    <t>Betteridge Legal Consulting</t>
  </si>
  <si>
    <t>Cozens Johansen Lawyers</t>
  </si>
  <si>
    <t>CREATIVE LAWYERS PTY LTD</t>
  </si>
  <si>
    <t>Cross Country Native Title Services</t>
  </si>
  <si>
    <t>Devenish Law</t>
  </si>
  <si>
    <t>Goulden Legal Services Pty Ltd</t>
  </si>
  <si>
    <t>Hogan Lovells</t>
  </si>
  <si>
    <t>Ligeti Partners Lawyers</t>
  </si>
  <si>
    <t>Mason Black + Mendelsons</t>
  </si>
  <si>
    <t>Miller Harris Lawyers</t>
  </si>
  <si>
    <t>Moores</t>
  </si>
  <si>
    <t>PFM  Legal  Pty Ltd</t>
  </si>
  <si>
    <t>Welcome Legal</t>
  </si>
  <si>
    <t>51 824 753 556</t>
  </si>
  <si>
    <t>21 075 951 918</t>
  </si>
  <si>
    <t>71 979 619 393</t>
  </si>
  <si>
    <t>72 321 984 210</t>
  </si>
  <si>
    <t>Department of Agriculture, Fisheries and Forestry</t>
  </si>
  <si>
    <t>24 113 085 695</t>
  </si>
  <si>
    <t>Department of Climate Change, Energy, the Environment and Water</t>
  </si>
  <si>
    <t>63 573 932 849</t>
  </si>
  <si>
    <t>Department of Education</t>
  </si>
  <si>
    <t>Department of Employment and Workplace Relations</t>
  </si>
  <si>
    <t>96 584 957 427</t>
  </si>
  <si>
    <t>Department of Health and Aged Care</t>
  </si>
  <si>
    <t>Department of Industry, Science and Resources</t>
  </si>
  <si>
    <t>Department of Infrastructure, Transport, Regional Development, Communications and the Arts</t>
  </si>
  <si>
    <t>23 964 290 824</t>
  </si>
  <si>
    <t>Domestic, Family and Sexual Violence Commission</t>
  </si>
  <si>
    <t>99 696 833 561</t>
  </si>
  <si>
    <t>53 156 699 293</t>
  </si>
  <si>
    <t>Independent Health and Aged Care Pricing Authority</t>
  </si>
  <si>
    <t>25 192 932 833</t>
  </si>
  <si>
    <t>National Emergency Management Agency</t>
  </si>
  <si>
    <t>40 816 261 802</t>
  </si>
  <si>
    <t>56 327 515 336</t>
  </si>
  <si>
    <t>Office of the Fair Work Ombudsman</t>
  </si>
  <si>
    <t>Office of the Australian Accounting Standards Board</t>
  </si>
  <si>
    <t>Northern Australia Infrastructure Facility</t>
  </si>
  <si>
    <t>High Speed Rail Authority</t>
  </si>
  <si>
    <t>88 675 754 520</t>
  </si>
  <si>
    <t>Asbestos and Silica Safety and Eradication Agency</t>
  </si>
  <si>
    <t>Australian Submarine Agency</t>
  </si>
  <si>
    <t>67 250 046 148</t>
  </si>
  <si>
    <t>Creative Australia</t>
  </si>
  <si>
    <t>Housing Australia</t>
  </si>
  <si>
    <t>National Anti-Corruption Commission</t>
  </si>
  <si>
    <t>47 446 409 542</t>
  </si>
  <si>
    <t>National Reconstruction Fund Corporation</t>
  </si>
  <si>
    <t>64 163 995 623</t>
  </si>
  <si>
    <t>Northern Territory Aboriginal Investment Corporation</t>
  </si>
  <si>
    <t>61 234 978 285</t>
  </si>
  <si>
    <t>Office of the Inspector-General of Aged Care</t>
  </si>
  <si>
    <t>27 478 662 745</t>
  </si>
  <si>
    <t>Parliamentary Workplace Support Service</t>
  </si>
  <si>
    <t>87 599 800 740</t>
  </si>
  <si>
    <t>Renamed - used to be called Asbestos Safety and Eradication Agency</t>
  </si>
  <si>
    <t xml:space="preserve">new </t>
  </si>
  <si>
    <t>Renamed - used to be called Australia Council</t>
  </si>
  <si>
    <t>Renamed - used to be called National Housing Finance and Investment Corporation</t>
  </si>
  <si>
    <t xml:space="preserve">New </t>
  </si>
  <si>
    <t>new - created 15 Nov 2022 (we missed asking to report in 22-23)</t>
  </si>
  <si>
    <t>3D HR Legal Pty Ltd</t>
  </si>
  <si>
    <t>A.S Legal Pty Ltd</t>
  </si>
  <si>
    <t>Aldermane</t>
  </si>
  <si>
    <t>Axiom Australia</t>
  </si>
  <si>
    <t>Birtsos Legal Pty Ltd</t>
  </si>
  <si>
    <t>BRAVURA LAW PTY LTD</t>
  </si>
  <si>
    <t>Castra Legal Costing</t>
  </si>
  <si>
    <t>Connolly Suthers</t>
  </si>
  <si>
    <t>Connor O Meara Solicitors</t>
  </si>
  <si>
    <t>Coulter Legal</t>
  </si>
  <si>
    <t>CRAWFORD &amp; COMPANY (AUSTRALIA) PTY LTD</t>
  </si>
  <si>
    <t>Debra Paver</t>
  </si>
  <si>
    <t>Department of Infrastructure</t>
  </si>
  <si>
    <t>DOCMARTIN PTY LTD (T/A Muse Legal)</t>
  </si>
  <si>
    <t>E&amp;H Law</t>
  </si>
  <si>
    <t>Eakin McCaffery Cox</t>
  </si>
  <si>
    <t>Face2Face Recruitment</t>
  </si>
  <si>
    <t>Halfpennys Lawyers</t>
  </si>
  <si>
    <t>Hays</t>
  </si>
  <si>
    <t>Holley Nethercote Pty Ltd</t>
  </si>
  <si>
    <t>Home Affairs</t>
  </si>
  <si>
    <t>J.B Abberton &amp; Co</t>
  </si>
  <si>
    <t>JNT Legal</t>
  </si>
  <si>
    <t>John Sharkey</t>
  </si>
  <si>
    <t>Kah Laywers Pty Ltd</t>
  </si>
  <si>
    <t>Karlka Recruiting Group</t>
  </si>
  <si>
    <t>Kells the Lawyers</t>
  </si>
  <si>
    <t>Marque Lawyers</t>
  </si>
  <si>
    <t>Marrawah Law Pty Ltd</t>
  </si>
  <si>
    <t>McQueens Solicitors</t>
  </si>
  <si>
    <t>Meister Legal</t>
  </si>
  <si>
    <t>MGNK PTY LTD</t>
  </si>
  <si>
    <t>On Q Recruitment</t>
  </si>
  <si>
    <t>OSO SCREEN LAW PTY LTD</t>
  </si>
  <si>
    <t>Page Seager Lawyers</t>
  </si>
  <si>
    <t>Piper Ellis Lawyers Pty Ltd T/A Piper Grimster Jones Lawyers</t>
  </si>
  <si>
    <t>Roe Legal Services(WA) Pty Ltd</t>
  </si>
  <si>
    <t>Ron Clapham Notary Public</t>
  </si>
  <si>
    <t>Ron Levy</t>
  </si>
  <si>
    <t>Rubik3 Pty Ltd</t>
  </si>
  <si>
    <t>Situ Solutions Pty Ltd</t>
  </si>
  <si>
    <t>SRI PARTNERS AUSTRALIA PTY LIMITED</t>
  </si>
  <si>
    <t>Sullivan &amp; Cromwell</t>
  </si>
  <si>
    <t>Susan O'Sullivan</t>
  </si>
  <si>
    <t xml:space="preserve">Synergy Group Australia Pty Ltd </t>
  </si>
  <si>
    <t>Toomey Pegg</t>
  </si>
  <si>
    <t>Ward Keller Lawyers</t>
  </si>
  <si>
    <t>WGC Lawyers</t>
  </si>
  <si>
    <t>Workdynamic Australia</t>
  </si>
  <si>
    <t xml:space="preserve">
This template is for completing the 2023-24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t>
  </si>
  <si>
    <t xml:space="preserve">
The completed template is to be returned to OLSC within 60 days after the end of the financial year (29 August 2024). Please email a copy to LSER@ag.gov.au. If your entity is not able to meet this deadline please email LSER@ag.gov.au as early as possible.
</t>
  </si>
  <si>
    <t xml:space="preserve">
In this section you are required to report the total value of your entity's internal legal services expenditure for 2023-24.
</t>
  </si>
  <si>
    <t xml:space="preserve">
In this section you are required to report the details of your entity's briefs to counsel (not including the Solicitor-General) for 2023-24. This section is divided into two subsections: 2a) Briefs to Junior Counsel; 2b) Briefs to Senior Counsel.
In each section, you are required to report the number and value of briefs, broken down by gender and how counsel was briefed.
</t>
  </si>
  <si>
    <t xml:space="preserve">
‘senior’ means a barrister of 10+ years experience at the Bar, counsel who has 10 or more years’ experience in being briefed as a barrister to advise or appear, or a King's/Senior Counsel. For 2023-24, include counsel called to the bar in 2014 or earlier.
'junior' means all other barristers/counsel.
</t>
  </si>
  <si>
    <t xml:space="preserve">
Only include details for 2023-24.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</si>
  <si>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Did your entity participate in the Whole of Australian Government Legal Services Panel at any time during 2023-24?</t>
  </si>
  <si>
    <t>Total value of professional fee expenditure on Provision of Tax Technical Legal Services Panel for 2023-24</t>
  </si>
  <si>
    <t>Total value of professional fee expenditure on ACCC/AER Competition and Consumer Panel 2019 for 2023-24</t>
  </si>
  <si>
    <t>What was your entity's invoiced Panel fee for 2023-24 (GST exclusive)?</t>
  </si>
  <si>
    <t xml:space="preserve">
Entities that participated in the 'Whole of Australian Government Legal Services Panel' at any time during the financial year must report their 2023-24 off-Panel expenditure through use of the 10% off-Panel Allowance and Exemptions (only for that time they were participating in the Panel).
Entities must report their total 2023-24 expenditure under the 'Provision of Tax Technical Legal Services Panel', and the 'ACCC/AER Competition and Consumer Law Panel 2019'.
Legal services provider specific figures will be captured in the total value of professional fees that are reported in Section 5. To prevent double counting, the figures in this Section 4 are not added to total legal expenditure.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</si>
  <si>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(e.g. List G Barristers are counsel and should be reported under Section 2). 
This section is divided into 3 subsections for different types of external providers: 5a) Other government providers; 5b) Overseas providers; 5c) Domestic providers.
</t>
  </si>
  <si>
    <t xml:space="preserve">
In this section you are required to review and confirm the summary totals for your entity's 2023-24 Legal Services Expenditure Report based on what you entered in the Entry form sheet.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</si>
  <si>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2023-24 Legal Services Expenditure Report based on what you entered in the Entry form sheet.
Commentary is required if there has been a significant change in total expenditure from 2022-23. Otherwise, entities may provide optional commentary to OLSC about their report. Commentary will not be made public or shared with other entities, but may be subject to Freedom of Information requests.
</t>
  </si>
  <si>
    <t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t>
  </si>
  <si>
    <t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t>
  </si>
  <si>
    <t xml:space="preserve">
You have completed all of the required fields in your entity’s Legal Services Expenditure Report template for 2023-24.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2023-24 will appear below. The report is locked for editing, so if you notice incorrect details you will need to revise your entries in the Entry form sheet. If you encounter any issues you may contact OLSC for assistance.
</t>
  </si>
  <si>
    <t xml:space="preserve">
Your 2023-24 Legal Services Expenditure Report is now complete.
Below is your entity's Legal Services Expenditure Report for 2023-24.
Please save this template as a .XLSX file using the following naming convention: OLSC – [Name of Entity] (acronym) – 2023-24 LSER – [date sent to OLSC] 
For example: OLSC – Attorney-General’s Department (AGD) – 2023-24 LSER – 1 August 2024
Please email this completed template to LSER@ag.gov.au
</t>
  </si>
  <si>
    <t>Legal Services Expenditure Report 2023-24</t>
  </si>
  <si>
    <t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reported expenditure from the previous financial year.
</t>
  </si>
  <si>
    <t xml:space="preserve">
In section 1 you are required to report the total value of your entity's internal legal services expenditure.
</t>
  </si>
  <si>
    <t xml:space="preserve">
Domestic external legal services providers include solicitors and similar service providers, including government legal services providers such as the Australian Government Solicitor (AGS), that conduct their business in Australia. It does not include counsel.
</t>
  </si>
  <si>
    <t xml:space="preserve">
The first domestic provider listed in section 5c is AGS. You must report your entity's professional fees with AGS here. If your entity did not engage with AGS during 2023-24, then you must enter '0' for a value of $0. 
Each domestic provider’s professional fees must be entered separately. Each domestic provider used in the previous year and all Whole of Australian Government Legal Services Panel providers have been included in the drop-down list. If a provider is not listed choose “PROVIDER NOT LISTED” to enter the provider name manually. You must only enter the details of domestic providers your entity had professional fees within 2023-24.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within 2023-24,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</si>
  <si>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Your entity's total legal services expenditure for 2023-24 is displayed below (entities that have not reported before - because they are new or been subject of Machinery of Government changes - will display 0 expenditure). If there has been a significant change in expenditure in 2023-24 compared to 2022-23, you will be required to provide an explanation of the change in the commentary text box.
</t>
  </si>
  <si>
    <t>The increased expenditure for 2023-24 reflects agency pay increases as well as an increase in allocation of effort and cost for one 1 Senior Counsel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</si>
</sst>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quot;$&quot;* #,##0_-;_-&quot;$&quot;* &quot;-&quot;??_-;_-@_-"/>
  </numFmts>
  <fonts count="35"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16">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58">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164" fontId="1" fillId="0" borderId="0" applyFont="0" applyFill="0" applyBorder="0" applyAlignment="0" applyProtection="0"/>
    <xf numFmtId="0" fontId="2" fillId="0" borderId="12" applyNumberFormat="0" applyFill="0" applyAlignment="0" applyProtection="0"/>
    <xf numFmtId="0" fontId="3" fillId="0" borderId="13" applyNumberFormat="0" applyFill="0" applyAlignment="0" applyProtection="0"/>
    <xf numFmtId="0" fontId="4" fillId="3" borderId="14" applyNumberFormat="0" applyAlignment="0" applyProtection="0"/>
    <xf numFmtId="0" fontId="5" fillId="4" borderId="15" applyNumberFormat="0" applyAlignment="0" applyProtection="0"/>
    <xf numFmtId="0" fontId="6" fillId="0" borderId="0" applyNumberFormat="0" applyFill="0" applyBorder="0" applyAlignment="0" applyProtection="0"/>
    <xf numFmtId="0" fontId="9" fillId="5" borderId="16" applyNumberFormat="0" applyAlignment="0" applyProtection="0"/>
    <xf numFmtId="0" fontId="11" fillId="6" borderId="0" applyNumberFormat="0" applyBorder="0" applyAlignment="0" applyProtection="0"/>
    <xf numFmtId="0" fontId="12" fillId="5" borderId="14" applyNumberFormat="0" applyAlignment="0" applyProtection="0"/>
    <xf numFmtId="0" fontId="16" fillId="0" borderId="22" applyNumberFormat="0" applyFill="0" applyAlignment="0" applyProtection="0"/>
    <xf numFmtId="0" fontId="1" fillId="12" borderId="23" applyNumberFormat="0" applyFont="0" applyAlignment="0" applyProtection="0"/>
  </cellStyleXfs>
  <cellXfs count="149">
    <xf numFmtId="0" fontId="0" fillId="0" borderId="0" xfId="0"/>
    <xf numFmtId="0" fontId="0" fillId="0" borderId="4" xfId="0" applyBorder="1"/>
    <xf numFmtId="0" fontId="0" fillId="0" borderId="1" xfId="0" applyBorder="1"/>
    <xf numFmtId="0" fontId="0" fillId="0" borderId="0" xfId="0" applyAlignment="1">
      <alignment vertical="center"/>
    </xf>
    <xf numFmtId="0" fontId="0" fillId="0" borderId="0" xfId="0" applyAlignment="1">
      <alignment vertical="center" wrapText="1"/>
    </xf>
    <xf numFmtId="0" fontId="10" fillId="0" borderId="0" xfId="0" applyFont="1"/>
    <xf numFmtId="0" fontId="10" fillId="0" borderId="0" xfId="0" applyFont="1" applyAlignment="1">
      <alignment vertical="center" wrapText="1"/>
    </xf>
    <xf numFmtId="0" fontId="16" fillId="0" borderId="22" xfId="10" applyAlignment="1">
      <alignment vertical="center" wrapText="1"/>
    </xf>
    <xf numFmtId="0" fontId="16" fillId="0" borderId="22" xfId="10" applyAlignment="1">
      <alignment vertical="center"/>
    </xf>
    <xf numFmtId="0" fontId="16" fillId="0" borderId="22" xfId="10"/>
    <xf numFmtId="0" fontId="3" fillId="0" borderId="13" xfId="3" applyAlignment="1">
      <alignment vertical="center" wrapText="1"/>
    </xf>
    <xf numFmtId="0" fontId="3" fillId="0" borderId="13" xfId="3" applyAlignment="1">
      <alignment vertical="center"/>
    </xf>
    <xf numFmtId="0" fontId="27" fillId="12" borderId="32" xfId="11" applyNumberFormat="1" applyFont="1" applyBorder="1" applyAlignment="1" applyProtection="1">
      <alignment horizontal="center"/>
    </xf>
    <xf numFmtId="0" fontId="29" fillId="15" borderId="30" xfId="0" applyFont="1" applyFill="1" applyBorder="1" applyAlignment="1" applyProtection="1">
      <alignment horizontal="center"/>
      <protection locked="0"/>
    </xf>
    <xf numFmtId="164" fontId="27" fillId="12" borderId="32" xfId="11" applyNumberFormat="1" applyFont="1" applyBorder="1" applyProtection="1">
      <protection locked="0"/>
    </xf>
    <xf numFmtId="1" fontId="27" fillId="12" borderId="32" xfId="11" applyNumberFormat="1" applyFont="1" applyBorder="1" applyProtection="1">
      <protection locked="0"/>
    </xf>
    <xf numFmtId="165" fontId="27" fillId="12" borderId="32" xfId="11" applyNumberFormat="1" applyFont="1" applyBorder="1" applyProtection="1"/>
    <xf numFmtId="0" fontId="27" fillId="12" borderId="32" xfId="11" applyNumberFormat="1" applyFont="1" applyBorder="1" applyAlignment="1" applyProtection="1">
      <alignment horizontal="center" vertical="center" wrapText="1"/>
      <protection locked="0"/>
    </xf>
    <xf numFmtId="0" fontId="29" fillId="15" borderId="43" xfId="0" applyFont="1" applyFill="1" applyBorder="1" applyAlignment="1" applyProtection="1">
      <alignment horizontal="center"/>
      <protection locked="0"/>
    </xf>
    <xf numFmtId="0" fontId="0" fillId="12" borderId="28" xfId="11" applyFont="1" applyBorder="1" applyAlignment="1" applyProtection="1">
      <alignment horizontal="center" vertical="center" wrapText="1"/>
      <protection locked="0"/>
    </xf>
    <xf numFmtId="0" fontId="19" fillId="6" borderId="56" xfId="8" applyFont="1" applyBorder="1" applyProtection="1"/>
    <xf numFmtId="0" fontId="18" fillId="6" borderId="56" xfId="8" applyNumberFormat="1" applyFont="1" applyBorder="1" applyAlignment="1" applyProtection="1">
      <alignment horizontal="center"/>
    </xf>
    <xf numFmtId="0" fontId="19" fillId="6" borderId="57" xfId="8" applyNumberFormat="1" applyFont="1" applyBorder="1" applyProtection="1"/>
    <xf numFmtId="0" fontId="7" fillId="0" borderId="0" xfId="0" applyFont="1"/>
    <xf numFmtId="0" fontId="5" fillId="10" borderId="0" xfId="0" applyFont="1" applyFill="1" applyAlignment="1">
      <alignment horizontal="center"/>
    </xf>
    <xf numFmtId="0" fontId="5" fillId="10" borderId="34" xfId="0" applyFont="1" applyFill="1" applyBorder="1"/>
    <xf numFmtId="0" fontId="24" fillId="2" borderId="28" xfId="6" applyFont="1" applyFill="1" applyBorder="1" applyAlignment="1" applyProtection="1">
      <alignment horizontal="left" wrapText="1" indent="1"/>
    </xf>
    <xf numFmtId="0" fontId="0" fillId="9" borderId="34" xfId="0" applyFill="1" applyBorder="1"/>
    <xf numFmtId="0" fontId="6" fillId="9" borderId="0" xfId="6" applyFill="1" applyBorder="1" applyAlignment="1" applyProtection="1">
      <alignment horizontal="center" wrapText="1"/>
    </xf>
    <xf numFmtId="0" fontId="13" fillId="2" borderId="28" xfId="0" applyFont="1" applyFill="1" applyBorder="1" applyAlignment="1">
      <alignment horizontal="center"/>
    </xf>
    <xf numFmtId="0" fontId="13" fillId="9" borderId="0" xfId="0" applyFont="1" applyFill="1" applyAlignment="1">
      <alignment horizontal="center"/>
    </xf>
    <xf numFmtId="0" fontId="16" fillId="11" borderId="22" xfId="10" applyFill="1" applyAlignment="1" applyProtection="1">
      <alignment horizontal="center"/>
    </xf>
    <xf numFmtId="0" fontId="16" fillId="11" borderId="42" xfId="10" applyFill="1" applyBorder="1" applyAlignment="1" applyProtection="1">
      <alignment horizontal="center"/>
    </xf>
    <xf numFmtId="0" fontId="23" fillId="9" borderId="0" xfId="0" applyFont="1" applyFill="1" applyAlignment="1">
      <alignment horizontal="left" vertical="center" wrapText="1"/>
    </xf>
    <xf numFmtId="0" fontId="24" fillId="2" borderId="18" xfId="6" applyFont="1" applyFill="1" applyBorder="1" applyAlignment="1" applyProtection="1">
      <alignment horizontal="left" vertical="center" wrapText="1" indent="1"/>
    </xf>
    <xf numFmtId="0" fontId="23" fillId="9" borderId="34" xfId="0" applyFont="1" applyFill="1" applyBorder="1"/>
    <xf numFmtId="0" fontId="6" fillId="9" borderId="0" xfId="6" applyNumberFormat="1" applyFill="1" applyBorder="1" applyAlignment="1" applyProtection="1">
      <alignment horizontal="center" vertical="center" wrapText="1"/>
    </xf>
    <xf numFmtId="0" fontId="0" fillId="9" borderId="0" xfId="0" applyFill="1"/>
    <xf numFmtId="165" fontId="2" fillId="5" borderId="41" xfId="9" applyNumberFormat="1" applyFont="1" applyBorder="1" applyAlignment="1" applyProtection="1">
      <alignment vertical="center"/>
    </xf>
    <xf numFmtId="0" fontId="2" fillId="5" borderId="41" xfId="9" applyFont="1" applyBorder="1" applyAlignment="1" applyProtection="1">
      <alignment vertical="center"/>
    </xf>
    <xf numFmtId="0" fontId="28" fillId="14" borderId="26" xfId="0" applyFont="1" applyFill="1" applyBorder="1" applyAlignment="1">
      <alignment horizontal="left"/>
    </xf>
    <xf numFmtId="0" fontId="34" fillId="0" borderId="0" xfId="0" applyFont="1"/>
    <xf numFmtId="0" fontId="8" fillId="4" borderId="15" xfId="5" applyNumberFormat="1" applyFont="1" applyAlignment="1" applyProtection="1">
      <alignment horizontal="center"/>
    </xf>
    <xf numFmtId="0" fontId="5" fillId="4" borderId="38" xfId="5" applyBorder="1" applyProtection="1"/>
    <xf numFmtId="0" fontId="16" fillId="9" borderId="22" xfId="10" applyFill="1" applyAlignment="1" applyProtection="1">
      <alignment horizontal="center"/>
    </xf>
    <xf numFmtId="0" fontId="16" fillId="9" borderId="42" xfId="10" applyFill="1" applyBorder="1" applyProtection="1"/>
    <xf numFmtId="165" fontId="2" fillId="5" borderId="44" xfId="9" applyNumberFormat="1" applyFont="1" applyBorder="1" applyAlignment="1" applyProtection="1">
      <alignment vertical="center"/>
    </xf>
    <xf numFmtId="0" fontId="0" fillId="9" borderId="50" xfId="0" applyFill="1" applyBorder="1"/>
    <xf numFmtId="165" fontId="17" fillId="5" borderId="44" xfId="9" applyNumberFormat="1" applyFont="1" applyBorder="1" applyAlignment="1" applyProtection="1">
      <alignment vertical="center"/>
    </xf>
    <xf numFmtId="0" fontId="31" fillId="10" borderId="0" xfId="0" applyFont="1" applyFill="1" applyAlignment="1">
      <alignment horizontal="center"/>
    </xf>
    <xf numFmtId="0" fontId="21" fillId="10" borderId="34" xfId="0" applyFont="1" applyFill="1" applyBorder="1"/>
    <xf numFmtId="0" fontId="23" fillId="9" borderId="0" xfId="0" applyFont="1" applyFill="1"/>
    <xf numFmtId="0" fontId="7" fillId="9" borderId="34" xfId="0" applyFont="1" applyFill="1" applyBorder="1" applyAlignment="1">
      <alignment vertical="center"/>
    </xf>
    <xf numFmtId="0" fontId="25" fillId="9" borderId="0" xfId="6" applyFont="1" applyFill="1" applyBorder="1" applyAlignment="1" applyProtection="1">
      <alignment horizontal="center" wrapText="1"/>
    </xf>
    <xf numFmtId="0" fontId="24" fillId="2" borderId="28" xfId="6" applyFont="1" applyFill="1" applyBorder="1" applyAlignment="1" applyProtection="1">
      <alignment horizontal="left" vertical="center" wrapText="1" indent="1"/>
    </xf>
    <xf numFmtId="0" fontId="23" fillId="9" borderId="0" xfId="0" applyFont="1" applyFill="1" applyAlignment="1">
      <alignment horizontal="center" vertical="center"/>
    </xf>
    <xf numFmtId="0" fontId="21" fillId="10" borderId="17" xfId="0" applyFont="1" applyFill="1" applyBorder="1" applyAlignment="1">
      <alignment horizontal="center"/>
    </xf>
    <xf numFmtId="0" fontId="21" fillId="10" borderId="39" xfId="0" applyFont="1" applyFill="1" applyBorder="1"/>
    <xf numFmtId="0" fontId="18" fillId="6" borderId="22" xfId="8" applyNumberFormat="1" applyFont="1" applyBorder="1" applyAlignment="1" applyProtection="1">
      <alignment horizontal="center"/>
    </xf>
    <xf numFmtId="0" fontId="11" fillId="6" borderId="42" xfId="8" applyBorder="1" applyProtection="1"/>
    <xf numFmtId="0" fontId="33" fillId="5" borderId="45" xfId="7" applyNumberFormat="1" applyFont="1" applyBorder="1" applyAlignment="1" applyProtection="1">
      <alignment horizontal="center" vertical="center" wrapText="1"/>
    </xf>
    <xf numFmtId="0" fontId="33" fillId="5" borderId="45" xfId="7" applyNumberFormat="1" applyFont="1" applyBorder="1" applyAlignment="1" applyProtection="1">
      <alignment horizontal="center"/>
    </xf>
    <xf numFmtId="165" fontId="33" fillId="5" borderId="45" xfId="7" applyNumberFormat="1" applyFont="1" applyBorder="1" applyProtection="1"/>
    <xf numFmtId="0" fontId="22" fillId="9" borderId="0" xfId="3" applyNumberFormat="1" applyFont="1" applyFill="1" applyBorder="1" applyProtection="1"/>
    <xf numFmtId="0" fontId="22" fillId="9" borderId="46" xfId="3" applyFont="1" applyFill="1" applyBorder="1" applyProtection="1"/>
    <xf numFmtId="165" fontId="33" fillId="5" borderId="47" xfId="7" applyNumberFormat="1" applyFont="1" applyBorder="1" applyProtection="1"/>
    <xf numFmtId="164" fontId="33" fillId="5" borderId="45" xfId="7" applyNumberFormat="1" applyFont="1" applyBorder="1" applyAlignment="1" applyProtection="1">
      <alignment horizontal="center"/>
    </xf>
    <xf numFmtId="0" fontId="23" fillId="9" borderId="48" xfId="0" applyFont="1" applyFill="1" applyBorder="1"/>
    <xf numFmtId="0" fontId="23" fillId="9" borderId="49" xfId="0" applyFont="1" applyFill="1" applyBorder="1"/>
    <xf numFmtId="0" fontId="18" fillId="8" borderId="51" xfId="0" applyFont="1" applyFill="1" applyBorder="1"/>
    <xf numFmtId="0" fontId="18" fillId="8" borderId="51" xfId="0" applyFont="1" applyFill="1" applyBorder="1" applyAlignment="1">
      <alignment horizontal="center"/>
    </xf>
    <xf numFmtId="0" fontId="18" fillId="8" borderId="52" xfId="0" applyFont="1" applyFill="1" applyBorder="1"/>
    <xf numFmtId="0" fontId="16" fillId="9" borderId="22" xfId="10" applyFill="1" applyAlignment="1" applyProtection="1">
      <alignment wrapText="1"/>
    </xf>
    <xf numFmtId="0" fontId="16" fillId="9" borderId="40" xfId="10" applyNumberFormat="1" applyFill="1" applyBorder="1" applyProtection="1"/>
    <xf numFmtId="0" fontId="23" fillId="9" borderId="27" xfId="0" applyFont="1" applyFill="1" applyBorder="1"/>
    <xf numFmtId="0" fontId="25" fillId="9" borderId="0" xfId="6" applyFont="1" applyFill="1" applyBorder="1" applyAlignment="1" applyProtection="1">
      <alignment horizontal="center" vertical="center" wrapText="1"/>
    </xf>
    <xf numFmtId="0" fontId="26" fillId="13" borderId="24" xfId="0" applyFont="1" applyFill="1" applyBorder="1" applyAlignment="1">
      <alignment horizontal="center" vertical="center"/>
    </xf>
    <xf numFmtId="0" fontId="7" fillId="0" borderId="0" xfId="0" applyFont="1" applyAlignment="1">
      <alignment vertical="center"/>
    </xf>
    <xf numFmtId="0" fontId="26" fillId="13" borderId="24" xfId="0" applyFont="1" applyFill="1" applyBorder="1" applyAlignment="1">
      <alignment horizontal="center"/>
    </xf>
    <xf numFmtId="0" fontId="23" fillId="9" borderId="27" xfId="0" applyFont="1" applyFill="1" applyBorder="1" applyAlignment="1">
      <alignment horizontal="left" vertical="center" wrapText="1"/>
    </xf>
    <xf numFmtId="0" fontId="8" fillId="4" borderId="25" xfId="5" applyFont="1" applyBorder="1" applyAlignment="1" applyProtection="1">
      <alignment horizontal="center"/>
    </xf>
    <xf numFmtId="0" fontId="8" fillId="4" borderId="35" xfId="5" applyFont="1" applyBorder="1" applyProtection="1"/>
    <xf numFmtId="0" fontId="16" fillId="9" borderId="40" xfId="10" applyFill="1" applyBorder="1" applyProtection="1"/>
    <xf numFmtId="0" fontId="23" fillId="9" borderId="0" xfId="0" applyFont="1" applyFill="1" applyAlignment="1">
      <alignment wrapText="1"/>
    </xf>
    <xf numFmtId="0" fontId="8" fillId="4" borderId="15" xfId="5" applyFont="1" applyAlignment="1" applyProtection="1">
      <alignment horizontal="center"/>
    </xf>
    <xf numFmtId="0" fontId="8" fillId="4" borderId="31" xfId="5" applyFont="1" applyBorder="1" applyProtection="1"/>
    <xf numFmtId="0" fontId="24" fillId="2" borderId="18" xfId="0" applyFont="1" applyFill="1" applyBorder="1" applyAlignment="1">
      <alignment horizontal="left" vertical="center" wrapText="1" indent="1"/>
    </xf>
    <xf numFmtId="0" fontId="23" fillId="9" borderId="27" xfId="0" applyFont="1" applyFill="1" applyBorder="1" applyAlignment="1">
      <alignment wrapText="1"/>
    </xf>
    <xf numFmtId="0" fontId="5" fillId="4" borderId="31" xfId="5" applyNumberFormat="1" applyBorder="1" applyProtection="1"/>
    <xf numFmtId="1" fontId="23" fillId="9" borderId="27" xfId="0" applyNumberFormat="1" applyFont="1" applyFill="1" applyBorder="1"/>
    <xf numFmtId="0" fontId="27" fillId="9" borderId="33" xfId="4" applyNumberFormat="1" applyFont="1" applyFill="1" applyBorder="1" applyProtection="1"/>
    <xf numFmtId="0" fontId="22" fillId="9" borderId="27" xfId="2" applyNumberFormat="1" applyFont="1" applyFill="1" applyBorder="1" applyProtection="1"/>
    <xf numFmtId="0" fontId="27" fillId="9" borderId="32" xfId="11" applyNumberFormat="1" applyFont="1" applyFill="1" applyBorder="1" applyProtection="1"/>
    <xf numFmtId="0" fontId="14" fillId="7" borderId="36" xfId="0" applyFont="1" applyFill="1" applyBorder="1" applyAlignment="1">
      <alignment horizontal="center"/>
    </xf>
    <xf numFmtId="0" fontId="0" fillId="7" borderId="37" xfId="0" applyFill="1" applyBorder="1"/>
    <xf numFmtId="0" fontId="33" fillId="5" borderId="45" xfId="7" applyFont="1" applyBorder="1" applyAlignment="1" applyProtection="1">
      <alignment horizontal="right" indent="1"/>
    </xf>
    <xf numFmtId="0" fontId="33" fillId="5" borderId="45" xfId="7" applyNumberFormat="1" applyFont="1" applyBorder="1" applyAlignment="1" applyProtection="1">
      <alignment horizontal="right" indent="1"/>
    </xf>
    <xf numFmtId="0" fontId="33" fillId="5" borderId="47" xfId="7" applyFont="1" applyBorder="1" applyAlignment="1" applyProtection="1">
      <alignment horizontal="right" indent="1"/>
    </xf>
    <xf numFmtId="0" fontId="32" fillId="2" borderId="18" xfId="0" applyFont="1" applyFill="1" applyBorder="1" applyAlignment="1">
      <alignment horizontal="left" vertical="center" indent="1"/>
    </xf>
    <xf numFmtId="0" fontId="32" fillId="2" borderId="18" xfId="0" applyFont="1" applyFill="1" applyBorder="1" applyAlignment="1">
      <alignment horizontal="left" indent="1"/>
    </xf>
    <xf numFmtId="0" fontId="23" fillId="2" borderId="19" xfId="0" applyFont="1" applyFill="1" applyBorder="1" applyAlignment="1">
      <alignment horizontal="left" indent="1"/>
    </xf>
    <xf numFmtId="0" fontId="23" fillId="2" borderId="20" xfId="0" applyFont="1" applyFill="1" applyBorder="1" applyAlignment="1">
      <alignment horizontal="left" indent="1"/>
    </xf>
    <xf numFmtId="0" fontId="23" fillId="2" borderId="18" xfId="0" applyFont="1" applyFill="1" applyBorder="1" applyAlignment="1">
      <alignment horizontal="left" indent="1"/>
    </xf>
    <xf numFmtId="0" fontId="23" fillId="2" borderId="21" xfId="0" applyFont="1" applyFill="1" applyBorder="1" applyAlignment="1">
      <alignment horizontal="left" indent="1"/>
    </xf>
    <xf numFmtId="0" fontId="5" fillId="10" borderId="0" xfId="0" applyFont="1" applyFill="1" applyAlignment="1">
      <alignment horizontal="left" indent="1"/>
    </xf>
    <xf numFmtId="0" fontId="0" fillId="9" borderId="0" xfId="0" applyFill="1" applyAlignment="1">
      <alignment horizontal="left" indent="1"/>
    </xf>
    <xf numFmtId="0" fontId="16" fillId="11" borderId="22" xfId="10" applyFill="1" applyAlignment="1" applyProtection="1">
      <alignment horizontal="left" indent="1"/>
    </xf>
    <xf numFmtId="0" fontId="23" fillId="9" borderId="0" xfId="0" applyFont="1" applyFill="1" applyAlignment="1">
      <alignment horizontal="left" vertical="center" wrapText="1" indent="1"/>
    </xf>
    <xf numFmtId="0" fontId="0" fillId="9" borderId="0" xfId="0" applyFill="1" applyAlignment="1">
      <alignment horizontal="left" vertical="center" wrapText="1" indent="1"/>
    </xf>
    <xf numFmtId="0" fontId="5" fillId="4" borderId="54" xfId="5" applyBorder="1" applyAlignment="1" applyProtection="1">
      <alignment horizontal="left" indent="1"/>
    </xf>
    <xf numFmtId="0" fontId="16" fillId="9" borderId="22" xfId="10" applyFill="1" applyAlignment="1" applyProtection="1">
      <alignment horizontal="left" indent="1"/>
    </xf>
    <xf numFmtId="0" fontId="21" fillId="10" borderId="0" xfId="0" applyFont="1" applyFill="1" applyAlignment="1">
      <alignment horizontal="left" indent="1"/>
    </xf>
    <xf numFmtId="0" fontId="23" fillId="9" borderId="0" xfId="0" applyFont="1" applyFill="1" applyAlignment="1">
      <alignment horizontal="left" indent="1"/>
    </xf>
    <xf numFmtId="0" fontId="21" fillId="10" borderId="17" xfId="0" applyFont="1" applyFill="1" applyBorder="1" applyAlignment="1">
      <alignment horizontal="left" indent="1"/>
    </xf>
    <xf numFmtId="0" fontId="11" fillId="6" borderId="22" xfId="8" applyBorder="1" applyAlignment="1" applyProtection="1">
      <alignment horizontal="left" indent="1"/>
    </xf>
    <xf numFmtId="0" fontId="22" fillId="9" borderId="13" xfId="3" applyNumberFormat="1" applyFont="1" applyFill="1" applyAlignment="1" applyProtection="1">
      <alignment horizontal="left" indent="1"/>
    </xf>
    <xf numFmtId="0" fontId="23" fillId="9" borderId="48" xfId="0" applyFont="1" applyFill="1" applyBorder="1" applyAlignment="1">
      <alignment horizontal="left" indent="1"/>
    </xf>
    <xf numFmtId="0" fontId="23" fillId="9" borderId="53" xfId="0" applyFont="1" applyFill="1" applyBorder="1" applyAlignment="1">
      <alignment horizontal="left" vertical="center" wrapText="1" indent="1"/>
    </xf>
    <xf numFmtId="0" fontId="8" fillId="4" borderId="54" xfId="5" applyFont="1" applyBorder="1" applyAlignment="1" applyProtection="1">
      <alignment horizontal="left" wrapText="1" indent="1"/>
    </xf>
    <xf numFmtId="0" fontId="16" fillId="9" borderId="22" xfId="10" applyFill="1" applyAlignment="1" applyProtection="1">
      <alignment horizontal="left" wrapText="1" indent="1"/>
    </xf>
    <xf numFmtId="0" fontId="23" fillId="9" borderId="0" xfId="0" applyFont="1" applyFill="1" applyAlignment="1">
      <alignment horizontal="left" wrapText="1" indent="1"/>
    </xf>
    <xf numFmtId="0" fontId="5" fillId="4" borderId="54" xfId="5" applyBorder="1" applyAlignment="1" applyProtection="1">
      <alignment horizontal="left" wrapText="1" indent="1"/>
    </xf>
    <xf numFmtId="0" fontId="23" fillId="9" borderId="55" xfId="0" applyFont="1" applyFill="1" applyBorder="1" applyAlignment="1">
      <alignment horizontal="left" wrapText="1" indent="1"/>
    </xf>
    <xf numFmtId="0" fontId="30" fillId="9" borderId="0" xfId="0" applyFont="1" applyFill="1" applyAlignment="1">
      <alignment horizontal="left" wrapText="1" indent="1"/>
    </xf>
    <xf numFmtId="0" fontId="22" fillId="9" borderId="13" xfId="3" applyFont="1" applyFill="1" applyAlignment="1" applyProtection="1">
      <alignment horizontal="left" wrapText="1" indent="1"/>
    </xf>
    <xf numFmtId="0" fontId="0" fillId="7" borderId="36" xfId="0" applyFill="1" applyBorder="1" applyAlignment="1">
      <alignment horizontal="left" wrapText="1" indent="1"/>
    </xf>
    <xf numFmtId="0" fontId="28" fillId="14" borderId="26" xfId="0" applyFont="1" applyFill="1" applyBorder="1" applyAlignment="1">
      <alignment horizontal="left" indent="1"/>
    </xf>
    <xf numFmtId="0" fontId="28" fillId="14" borderId="29" xfId="0" applyFont="1" applyFill="1" applyBorder="1" applyAlignment="1">
      <alignment horizontal="left" indent="1"/>
    </xf>
    <xf numFmtId="0" fontId="22" fillId="9" borderId="13" xfId="3" applyFont="1" applyFill="1" applyAlignment="1" applyProtection="1">
      <alignment horizontal="left" indent="1"/>
    </xf>
    <xf numFmtId="0" fontId="22" fillId="9" borderId="13" xfId="0" applyFont="1" applyFill="1" applyBorder="1" applyAlignment="1">
      <alignment horizontal="left" indent="1"/>
    </xf>
    <xf numFmtId="0" fontId="27" fillId="12" borderId="32" xfId="11" applyNumberFormat="1" applyFont="1" applyBorder="1" applyAlignment="1" applyProtection="1">
      <alignment horizontal="right" indent="1"/>
      <protection locked="0"/>
    </xf>
    <xf numFmtId="0" fontId="15" fillId="2" borderId="18" xfId="0" applyFont="1" applyFill="1" applyBorder="1" applyAlignment="1">
      <alignment horizontal="left" vertical="center" wrapText="1" indent="1"/>
    </xf>
    <xf numFmtId="0" fontId="20" fillId="2" borderId="18" xfId="0" applyFont="1" applyFill="1" applyBorder="1" applyAlignment="1">
      <alignment horizontal="left" vertical="center" wrapText="1" indent="1"/>
    </xf>
    <xf numFmtId="0" fontId="15" fillId="2" borderId="28" xfId="0" applyFont="1" applyFill="1" applyBorder="1" applyAlignment="1">
      <alignment horizontal="left" vertical="center" wrapText="1" indent="1"/>
    </xf>
    <xf numFmtId="0" fontId="0" fillId="0" borderId="10" xfId="0" applyBorder="1"/>
    <xf numFmtId="0" fontId="0" fillId="0" borderId="11" xfId="0" applyBorder="1"/>
    <xf numFmtId="0" fontId="0" fillId="0" borderId="9" xfId="0" applyBorder="1"/>
    <xf numFmtId="0" fontId="0" fillId="0" borderId="2" xfId="0" applyBorder="1"/>
    <xf numFmtId="0" fontId="0" fillId="0" borderId="7" xfId="0" applyBorder="1"/>
    <xf numFmtId="0" fontId="0" fillId="0" borderId="8" xfId="0" applyBorder="1"/>
    <xf numFmtId="0" fontId="0" fillId="0" borderId="3" xfId="0" applyBorder="1"/>
    <xf numFmtId="0" fontId="0" fillId="0" borderId="5" xfId="0" applyBorder="1"/>
    <xf numFmtId="0" fontId="0" fillId="0" borderId="6" xfId="0" applyBorder="1"/>
    <xf numFmtId="165" fontId="0" fillId="0" borderId="0" xfId="1" applyNumberFormat="1" applyFont="1"/>
    <xf numFmtId="1" fontId="0" fillId="0" borderId="0" xfId="1" applyNumberFormat="1" applyFont="1" applyBorder="1"/>
    <xf numFmtId="1" fontId="0" fillId="0" borderId="5" xfId="1" applyNumberFormat="1" applyFont="1" applyBorder="1"/>
    <xf numFmtId="1" fontId="0" fillId="0" borderId="5" xfId="0" applyNumberFormat="1" applyBorder="1"/>
    <xf numFmtId="1" fontId="0" fillId="0" borderId="8" xfId="1" applyNumberFormat="1" applyFont="1" applyBorder="1"/>
    <xf numFmtId="1" fontId="0" fillId="0" borderId="6" xfId="0" applyNumberFormat="1" applyBorder="1"/>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6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3" tint="0.79998168889431442"/>
      </font>
      <fill>
        <patternFill>
          <bgColor theme="3" tint="0.79998168889431442"/>
        </patternFill>
      </fill>
    </dxf>
    <dxf>
      <font>
        <color theme="0" tint="-0.24994659260841701"/>
      </font>
      <fill>
        <patternFill>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fgColor theme="0" tint="-0.24994659260841701"/>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bgColor theme="0" tint="-0.24994659260841701"/>
        </patternFill>
      </fill>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b/>
        <i val="0"/>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border>
        <left style="thin">
          <color rgb="FF002060"/>
        </left>
        <vertical/>
        <horizontal/>
      </border>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07"/>
  <sheetViews>
    <sheetView showGridLines="0" zoomScale="55" zoomScaleNormal="100" workbookViewId="0">
      <selection activeCell="A135" sqref="A135:XFD135"/>
    </sheetView>
  </sheetViews>
  <sheetFormatPr defaultColWidth="9.140625" defaultRowHeight="25.5" x14ac:dyDescent="0.35"/>
  <cols>
    <col min="1" max="1" width="33.7109375" customWidth="1"/>
    <col min="2" max="2" width="100.7109375" customWidth="1"/>
    <col min="3" max="3" width="33.7109375" customWidth="1"/>
    <col min="4" max="4" width="9" style="23" customWidth="1"/>
    <col min="5" max="5" width="8.7109375" style="23" hidden="1" customWidth="1"/>
    <col min="6" max="7" width="9.140625" hidden="1" customWidth="1"/>
    <col min="9" max="9" width="42.140625" customWidth="1"/>
  </cols>
  <sheetData>
    <row r="1" spans="1:7" ht="44.25" customHeight="1" x14ac:dyDescent="0.35">
      <c r="A1" s="69"/>
      <c r="B1" s="70" t="s">
        <v>729</v>
      </c>
      <c r="C1" s="71"/>
    </row>
    <row r="2" spans="1:7" ht="36.75" customHeight="1" thickBot="1" x14ac:dyDescent="0.4">
      <c r="A2" s="72"/>
      <c r="B2" s="44" t="s">
        <v>569</v>
      </c>
      <c r="C2" s="73"/>
    </row>
    <row r="3" spans="1:7" ht="95.25" customHeight="1" thickTop="1" x14ac:dyDescent="0.35">
      <c r="A3" s="117" t="str">
        <f>Text!A4</f>
        <v>What is this section?</v>
      </c>
      <c r="B3" s="34" t="str">
        <f>Text!B4</f>
        <v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reported expenditure from the previous financial year.
</v>
      </c>
      <c r="C3" s="74"/>
    </row>
    <row r="4" spans="1:7" ht="93.75" customHeight="1" x14ac:dyDescent="0.35">
      <c r="A4" s="107" t="str">
        <f>Text!A5</f>
        <v>What if the entity name or ABN is incorrect?</v>
      </c>
      <c r="B4" s="34"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74"/>
    </row>
    <row r="5" spans="1:7" ht="32.1" customHeight="1" thickBot="1" x14ac:dyDescent="0.4">
      <c r="A5" s="107"/>
      <c r="B5" s="75"/>
      <c r="C5" s="74"/>
    </row>
    <row r="6" spans="1:7" ht="54" customHeight="1" thickTop="1" thickBot="1" x14ac:dyDescent="0.4">
      <c r="A6" s="107"/>
      <c r="B6" s="76" t="s">
        <v>570</v>
      </c>
      <c r="C6" s="17" t="s">
        <v>357</v>
      </c>
      <c r="D6" s="77" t="str">
        <f>IF(AND($C$9="",C6=""),"E",IF(AND($C$9="",C6&lt;&gt;""),"",IF(NOT(ISNUMBER(MATCH(C6,agencyname,0))),"D",IF(AND($C$9="check",C6&lt;&gt;""),"C","D"))))</f>
        <v>C</v>
      </c>
      <c r="F6" t="s">
        <v>526</v>
      </c>
      <c r="G6" t="s">
        <v>526</v>
      </c>
    </row>
    <row r="7" spans="1:7" ht="27" thickTop="1" thickBot="1" x14ac:dyDescent="0.4">
      <c r="A7" s="107"/>
      <c r="B7" s="78" t="s">
        <v>69</v>
      </c>
      <c r="C7" s="12" t="str">
        <f>IF(ISNUMBER(MATCH(C6,agencyname,0)),INDEX(abnumber,MATCH(C6,agencyname,0)),"")</f>
        <v>45 307 308 260</v>
      </c>
      <c r="D7" s="23" t="str">
        <f>IF($C$9="","",IF(AND($C$9="check",C7&lt;&gt;""),"C","D"))</f>
        <v>C</v>
      </c>
      <c r="F7" t="s">
        <v>526</v>
      </c>
      <c r="G7" t="s">
        <v>525</v>
      </c>
    </row>
    <row r="8" spans="1:7" ht="27" thickTop="1" thickBot="1" x14ac:dyDescent="0.4">
      <c r="A8" s="107"/>
      <c r="B8" s="33"/>
      <c r="C8" s="79"/>
      <c r="F8" t="s">
        <v>404</v>
      </c>
      <c r="G8" t="s">
        <v>404</v>
      </c>
    </row>
    <row r="9" spans="1:7" ht="27" thickTop="1" thickBot="1" x14ac:dyDescent="0.4">
      <c r="A9" s="107"/>
      <c r="B9" s="126" t="s">
        <v>470</v>
      </c>
      <c r="C9" s="13" t="s">
        <v>469</v>
      </c>
      <c r="D9" s="23" t="str">
        <f>IF(AND(C6&lt;&gt;"",C7&lt;&gt;"",C9&lt;&gt;"Check"),"E","")</f>
        <v/>
      </c>
      <c r="E9" s="23" t="str">
        <f>IF(B9="Check details to proceed","O","")</f>
        <v>O</v>
      </c>
      <c r="F9" t="s">
        <v>526</v>
      </c>
      <c r="G9" t="s">
        <v>520</v>
      </c>
    </row>
    <row r="10" spans="1:7" ht="27" thickTop="1" thickBot="1" x14ac:dyDescent="0.4">
      <c r="A10" s="118"/>
      <c r="B10" s="80"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81"/>
      <c r="F10" t="s">
        <v>404</v>
      </c>
      <c r="G10" t="s">
        <v>404</v>
      </c>
    </row>
    <row r="11" spans="1:7" ht="37.5" customHeight="1" thickTop="1" thickBot="1" x14ac:dyDescent="0.4">
      <c r="A11" s="119"/>
      <c r="B11" s="44" t="s">
        <v>63</v>
      </c>
      <c r="C11" s="82"/>
      <c r="F11" t="s">
        <v>404</v>
      </c>
      <c r="G11" t="s">
        <v>404</v>
      </c>
    </row>
    <row r="12" spans="1:7" ht="176.25" customHeight="1" thickTop="1" x14ac:dyDescent="0.35">
      <c r="A12" s="107" t="str">
        <f>Text!A12</f>
        <v>How to use this template</v>
      </c>
      <c r="B12" s="34" t="str">
        <f>Text!B12</f>
        <v xml:space="preserve">
This template is for completing the 2023-24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v>
      </c>
      <c r="C12" s="74"/>
      <c r="F12" t="s">
        <v>404</v>
      </c>
      <c r="G12" t="s">
        <v>404</v>
      </c>
    </row>
    <row r="13" spans="1:7" ht="65.25" customHeight="1" x14ac:dyDescent="0.35">
      <c r="A13" s="107" t="str">
        <f>Text!A13</f>
        <v>What is section 1?</v>
      </c>
      <c r="B13" s="34" t="str">
        <f>Text!B13</f>
        <v xml:space="preserve">
In section 1 you are required to report the total value of your entity's internal legal services expenditure.
</v>
      </c>
      <c r="C13" s="74"/>
    </row>
    <row r="14" spans="1:7" ht="57.75" customHeight="1" x14ac:dyDescent="0.35">
      <c r="A14" s="107" t="str">
        <f>Text!A14</f>
        <v>What is section 2?</v>
      </c>
      <c r="B14" s="34" t="str">
        <f>Text!B14</f>
        <v xml:space="preserve">
In section 2 you are required to report the details of your entity's briefs to counsel.
</v>
      </c>
      <c r="C14" s="74"/>
    </row>
    <row r="15" spans="1:7" ht="60" customHeight="1" x14ac:dyDescent="0.35">
      <c r="A15" s="107" t="str">
        <f>Text!A15</f>
        <v>What is section 3?</v>
      </c>
      <c r="B15" s="34" t="str">
        <f>Text!B15</f>
        <v xml:space="preserve">
In section 3 you are required to report total value of your entity’s expenditure on disbursements. 
</v>
      </c>
      <c r="C15" s="74"/>
    </row>
    <row r="16" spans="1:7" ht="62.25" customHeight="1" x14ac:dyDescent="0.35">
      <c r="A16" s="107" t="str">
        <f>Text!A16</f>
        <v>What is section 4?</v>
      </c>
      <c r="B16" s="34" t="str">
        <f>Text!B16</f>
        <v xml:space="preserve">
In section 4 you are required to report information about your entity's use of legal services panels.
</v>
      </c>
      <c r="C16" s="74"/>
    </row>
    <row r="17" spans="1:7" ht="67.5" customHeight="1" x14ac:dyDescent="0.35">
      <c r="A17" s="107" t="str">
        <f>Text!A17</f>
        <v>What is section 5?</v>
      </c>
      <c r="B17" s="34" t="str">
        <f>Text!B17</f>
        <v xml:space="preserve">
In section 5 you are required to report on your entity's expenditure on professional fees.
</v>
      </c>
      <c r="C17" s="74"/>
    </row>
    <row r="18" spans="1:7" ht="169.5" customHeight="1" x14ac:dyDescent="0.35">
      <c r="A18" s="107" t="str">
        <f>Text!A18</f>
        <v>What is the Summary sheet?</v>
      </c>
      <c r="B18" s="34"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2023-24 Legal Services Expenditure Report based on what you entered in the Entry form sheet.
Commentary is required if there has been a significant change in total expenditure from 2022-23. Otherwise, entities may provide optional commentary to OLSC about their report. Commentary will not be made public or shared with other entities, but may be subject to Freedom of Information requests.
</v>
      </c>
      <c r="C18" s="74"/>
    </row>
    <row r="19" spans="1:7" ht="186.75" customHeight="1" x14ac:dyDescent="0.35">
      <c r="A19" s="107" t="str">
        <f>Text!A19</f>
        <v>How should information be reported?</v>
      </c>
      <c r="B19" s="34"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74"/>
      <c r="F19" t="s">
        <v>404</v>
      </c>
      <c r="G19" t="s">
        <v>404</v>
      </c>
    </row>
    <row r="20" spans="1:7" ht="79.5" customHeight="1" x14ac:dyDescent="0.35">
      <c r="A20" s="107" t="str">
        <f>Text!A20</f>
        <v>How do I submit a completed template?</v>
      </c>
      <c r="B20" s="34" t="str">
        <f>Text!B20</f>
        <v xml:space="preserve">
The completed template is to be returned to OLSC within 60 days after the end of the financial year (29 August 2024). Please email a copy to LSER@ag.gov.au. If your entity is not able to meet this deadline please email LSER@ag.gov.au as early as possible.
</v>
      </c>
      <c r="C20" s="74"/>
      <c r="F20" t="s">
        <v>404</v>
      </c>
      <c r="G20" t="s">
        <v>404</v>
      </c>
    </row>
    <row r="21" spans="1:7" ht="69.75" customHeight="1" x14ac:dyDescent="0.35">
      <c r="A21" s="107" t="str">
        <f>Text!A21</f>
        <v>A reminder of further obligations</v>
      </c>
      <c r="B21" s="34" t="str">
        <f>Text!B21</f>
        <v xml:space="preserve">
In addition to completing this template, all non-corporate Commonwealth entities are required to publish their legal services expenditure by 30 October.
</v>
      </c>
      <c r="C21" s="74"/>
      <c r="F21" t="s">
        <v>404</v>
      </c>
      <c r="G21" t="s">
        <v>404</v>
      </c>
    </row>
    <row r="22" spans="1:7" ht="68.25" customHeight="1" x14ac:dyDescent="0.35">
      <c r="A22" s="107" t="str">
        <f>Text!A22</f>
        <v>Need further assistance?</v>
      </c>
      <c r="B22" s="34" t="str">
        <f>Text!B22</f>
        <v xml:space="preserve">
If you require further assistance to complete this template please get in touch with OLSC:
Phone: (02) 6141 3642
Email: LSER@ag.gov.au
</v>
      </c>
      <c r="C22" s="74"/>
      <c r="F22" t="s">
        <v>404</v>
      </c>
      <c r="G22" t="s">
        <v>404</v>
      </c>
    </row>
    <row r="23" spans="1:7" ht="24" customHeight="1" thickBot="1" x14ac:dyDescent="0.4">
      <c r="A23" s="107"/>
      <c r="B23" s="75"/>
      <c r="C23" s="74"/>
      <c r="F23" t="s">
        <v>404</v>
      </c>
      <c r="G23" t="s">
        <v>404</v>
      </c>
    </row>
    <row r="24" spans="1:7" ht="27" thickTop="1" thickBot="1" x14ac:dyDescent="0.4">
      <c r="A24" s="120"/>
      <c r="B24" s="126" t="str">
        <f>Text!B24</f>
        <v>Please confirm that you have read and understood the Template Guidance</v>
      </c>
      <c r="C24" s="13" t="s">
        <v>78</v>
      </c>
      <c r="D24" s="23" t="str">
        <f>IF(AND(B10="Proceed below",C24=""),"E","")</f>
        <v/>
      </c>
      <c r="E24" s="23" t="str">
        <f>IF(B24=Text!B24,"E","")</f>
        <v>E</v>
      </c>
      <c r="F24" t="s">
        <v>526</v>
      </c>
      <c r="G24" t="s">
        <v>519</v>
      </c>
    </row>
    <row r="25" spans="1:7" ht="27" thickTop="1" thickBot="1" x14ac:dyDescent="0.4">
      <c r="A25" s="118"/>
      <c r="B25" s="84" t="str">
        <f>IF($B$10&lt;&gt;"Proceed below","Please enter entity details above",IF($C$24="","Read the Guidance then select 'Yes' or 'No' from the drop down list",IF($C$24="Yes","Proceed below","Please contact OLSC for assistance")))</f>
        <v>Proceed below</v>
      </c>
      <c r="C25" s="85"/>
      <c r="F25" t="s">
        <v>404</v>
      </c>
      <c r="G25" t="s">
        <v>404</v>
      </c>
    </row>
    <row r="26" spans="1:7" ht="39" customHeight="1" thickTop="1" thickBot="1" x14ac:dyDescent="0.4">
      <c r="A26" s="119" t="s">
        <v>80</v>
      </c>
      <c r="B26" s="44" t="s">
        <v>92</v>
      </c>
      <c r="C26" s="73"/>
      <c r="F26" t="s">
        <v>404</v>
      </c>
      <c r="G26" t="s">
        <v>404</v>
      </c>
    </row>
    <row r="27" spans="1:7" ht="59.25" customHeight="1" thickTop="1" x14ac:dyDescent="0.35">
      <c r="A27" s="107" t="str">
        <f>Text!A27</f>
        <v>What is this section?</v>
      </c>
      <c r="B27" s="86" t="str">
        <f>Text!B27</f>
        <v xml:space="preserve">
In this section you are required to report the total value of your entity's internal legal services expenditure for 2023-24.
</v>
      </c>
      <c r="C27" s="74"/>
      <c r="F27" t="s">
        <v>404</v>
      </c>
      <c r="G27" t="s">
        <v>404</v>
      </c>
    </row>
    <row r="28" spans="1:7" ht="84.75" customHeight="1" x14ac:dyDescent="0.35">
      <c r="A28" s="107" t="str">
        <f>Text!A28</f>
        <v>What is internal legal services expenditure?</v>
      </c>
      <c r="B28" s="86"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74"/>
      <c r="F28" t="s">
        <v>404</v>
      </c>
      <c r="G28" t="s">
        <v>404</v>
      </c>
    </row>
    <row r="29" spans="1:7" ht="63" customHeight="1" x14ac:dyDescent="0.35">
      <c r="A29" s="107" t="str">
        <f>Text!A29</f>
        <v>How is internal legal services expenditure reported?</v>
      </c>
      <c r="B29" s="86" t="str">
        <f>Text!B29</f>
        <v xml:space="preserve">
Only enter whole dollar amount. Figures including cents will not be accepted. If there was no expenditure, enter '0' for a total value of $0.
</v>
      </c>
      <c r="C29" s="74"/>
      <c r="F29" t="s">
        <v>404</v>
      </c>
      <c r="G29" t="s">
        <v>404</v>
      </c>
    </row>
    <row r="30" spans="1:7" ht="27" customHeight="1" thickBot="1" x14ac:dyDescent="0.4">
      <c r="A30" s="107"/>
      <c r="B30" s="51"/>
      <c r="C30" s="74"/>
      <c r="F30" t="s">
        <v>404</v>
      </c>
      <c r="G30" t="s">
        <v>404</v>
      </c>
    </row>
    <row r="31" spans="1:7" ht="27" thickTop="1" thickBot="1" x14ac:dyDescent="0.4">
      <c r="A31" s="107"/>
      <c r="B31" s="127" t="str">
        <f>IF($B25&lt;&gt;"Proceed below","",Text!B31)</f>
        <v>Please confirm that you have read and understood the Internal Legal Services Expenditure explainer</v>
      </c>
      <c r="C31" s="13" t="s">
        <v>78</v>
      </c>
      <c r="D31" s="23" t="str">
        <f>IF(AND(B25="Proceed below",C31=""),"E","")</f>
        <v/>
      </c>
      <c r="E31" s="23" t="str">
        <f>IF(B31=Text!B31,"E","")</f>
        <v>E</v>
      </c>
      <c r="F31" t="s">
        <v>526</v>
      </c>
      <c r="G31" t="s">
        <v>519</v>
      </c>
    </row>
    <row r="32" spans="1:7" ht="27" thickTop="1" thickBot="1" x14ac:dyDescent="0.4">
      <c r="A32" s="118"/>
      <c r="B32" s="84" t="str">
        <f>IF($B$25&lt;&gt;"Proceed below","",IF($C$31="Yes","Proceed below",IF($C$31="No","Please contact OLSC for assistance","Read the explainer then select 'Yes' or 'No' from the drop down list")))</f>
        <v>Proceed below</v>
      </c>
      <c r="C32" s="85"/>
      <c r="F32" t="s">
        <v>404</v>
      </c>
      <c r="G32" t="s">
        <v>404</v>
      </c>
    </row>
    <row r="33" spans="1:7" ht="36.6" customHeight="1" thickTop="1" thickBot="1" x14ac:dyDescent="0.4">
      <c r="A33" s="119" t="s">
        <v>80</v>
      </c>
      <c r="B33" s="44" t="s">
        <v>93</v>
      </c>
      <c r="C33" s="73"/>
      <c r="F33" t="s">
        <v>404</v>
      </c>
      <c r="G33" t="s">
        <v>404</v>
      </c>
    </row>
    <row r="34" spans="1:7" ht="27" thickTop="1" thickBot="1" x14ac:dyDescent="0.4">
      <c r="A34" s="120"/>
      <c r="B34" s="78" t="str">
        <f>Text!B34</f>
        <v>Total value of internal legal services expenditure</v>
      </c>
      <c r="C34" s="14">
        <v>3514505</v>
      </c>
      <c r="D34" s="23" t="str">
        <f>IF($B$32&lt;&gt;"Proceed below","",IF(AND(C36&lt;&gt;"Check",C34=""),"E",IF(AND(C36&lt;&gt;"Check",C34&lt;&gt;""),"",IF(NOT(ISNUMBER(C34)),"D",IF(AND(INT(C34)=C34,C34&lt;&gt;"",C34&gt;=0),"C","D")))))</f>
        <v>C</v>
      </c>
      <c r="F34" t="s">
        <v>526</v>
      </c>
      <c r="G34" t="s">
        <v>404</v>
      </c>
    </row>
    <row r="35" spans="1:7" ht="27" thickTop="1" thickBot="1" x14ac:dyDescent="0.4">
      <c r="A35" s="120"/>
      <c r="B35" s="83"/>
      <c r="C35" s="87"/>
      <c r="F35" t="s">
        <v>404</v>
      </c>
      <c r="G35" t="s">
        <v>404</v>
      </c>
    </row>
    <row r="36" spans="1:7" ht="27" thickTop="1" thickBot="1" x14ac:dyDescent="0.4">
      <c r="A36" s="120"/>
      <c r="B36" s="126" t="str">
        <f>IF($B$32="Proceed below",Text!B36,"")</f>
        <v>Check details to proceed</v>
      </c>
      <c r="C36" s="13" t="s">
        <v>469</v>
      </c>
      <c r="D36" s="23" t="str">
        <f>IF(AND(B32="Proceed below",C34&lt;&gt;"",C36=""),"E","")</f>
        <v/>
      </c>
      <c r="E36" s="23" t="str">
        <f>IF(B36="Check details to proceed","O","")</f>
        <v>O</v>
      </c>
      <c r="F36" t="s">
        <v>526</v>
      </c>
      <c r="G36" t="s">
        <v>520</v>
      </c>
    </row>
    <row r="37" spans="1:7" ht="27" thickTop="1" thickBot="1" x14ac:dyDescent="0.4">
      <c r="A37" s="121"/>
      <c r="B37" s="84"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88"/>
      <c r="F37" t="s">
        <v>404</v>
      </c>
      <c r="G37" t="s">
        <v>404</v>
      </c>
    </row>
    <row r="38" spans="1:7" ht="43.5" customHeight="1" thickTop="1" thickBot="1" x14ac:dyDescent="0.4">
      <c r="A38" s="119" t="s">
        <v>81</v>
      </c>
      <c r="B38" s="44" t="s">
        <v>83</v>
      </c>
      <c r="C38" s="73"/>
      <c r="F38" t="s">
        <v>404</v>
      </c>
      <c r="G38" t="s">
        <v>404</v>
      </c>
    </row>
    <row r="39" spans="1:7" ht="115.5" customHeight="1" thickTop="1" x14ac:dyDescent="0.35">
      <c r="A39" s="107" t="str">
        <f>Text!A39</f>
        <v>What is this section?</v>
      </c>
      <c r="B39" s="86" t="str">
        <f>Text!B39</f>
        <v xml:space="preserve">
In this section you are required to report the details of your entity's briefs to counsel (not including the Solicitor-General) for 2023-24. This section is divided into two subsections: 2a) Briefs to Junior Counsel; 2b) Briefs to Senior Counsel.
In each section, you are required to report the number and value of briefs, broken down by gender and how counsel was briefed.
</v>
      </c>
      <c r="C39" s="74"/>
      <c r="F39" t="s">
        <v>404</v>
      </c>
      <c r="G39" t="s">
        <v>404</v>
      </c>
    </row>
    <row r="40" spans="1:7" ht="105.75" customHeight="1" x14ac:dyDescent="0.35">
      <c r="A40" s="107" t="str">
        <f>Text!A40</f>
        <v>What is the difference between senior and junior counsel?</v>
      </c>
      <c r="B40" s="86" t="str">
        <f>Text!B40</f>
        <v xml:space="preserve">
‘senior’ means a barrister of 10+ years experience at the Bar, counsel who has 10 or more years’ experience in being briefed as a barrister to advise or appear, or a King's/Senior Counsel. For 2023-24, include counsel called to the bar in 2014 or earlier.
'junior' means all other barristers/counsel.
</v>
      </c>
      <c r="C40" s="74"/>
      <c r="F40" t="s">
        <v>404</v>
      </c>
      <c r="G40" t="s">
        <v>404</v>
      </c>
    </row>
    <row r="41" spans="1:7" ht="82.5" customHeight="1" x14ac:dyDescent="0.35">
      <c r="A41" s="107" t="str">
        <f>Text!A41</f>
        <v>What is the difference between direct and indirect briefing?</v>
      </c>
      <c r="B41" s="86" t="str">
        <f>Text!B41</f>
        <v xml:space="preserve">
Indirect briefing is when a legal services provider briefs counsel.
Direct briefing is when an entity briefs counsel directly, rather than through a legal services provider.
</v>
      </c>
      <c r="C41" s="74"/>
      <c r="F41" t="s">
        <v>404</v>
      </c>
      <c r="G41" t="s">
        <v>404</v>
      </c>
    </row>
    <row r="42" spans="1:7" ht="137.25" customHeight="1" x14ac:dyDescent="0.35">
      <c r="A42" s="107" t="str">
        <f>Text!A42</f>
        <v>How are briefs reported?</v>
      </c>
      <c r="B42" s="86" t="str">
        <f>Text!B42</f>
        <v xml:space="preserve">
Only include details for 2023-24.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74"/>
      <c r="F42" t="s">
        <v>404</v>
      </c>
      <c r="G42" t="s">
        <v>404</v>
      </c>
    </row>
    <row r="43" spans="1:7" ht="31.5" customHeight="1" thickBot="1" x14ac:dyDescent="0.4">
      <c r="A43" s="107"/>
      <c r="B43" s="75"/>
      <c r="C43" s="74"/>
      <c r="F43" t="s">
        <v>404</v>
      </c>
      <c r="G43" t="s">
        <v>404</v>
      </c>
    </row>
    <row r="44" spans="1:7" ht="26.1" customHeight="1" thickTop="1" thickBot="1" x14ac:dyDescent="0.4">
      <c r="A44" s="107" t="str">
        <f>IF($B$37="Proceed to Section 2","How is the value of briefs reported?","")</f>
        <v/>
      </c>
      <c r="B44" s="126" t="str">
        <f>IF($B$37&lt;&gt;"Proceed below","",Text!B44)</f>
        <v>Please confirm you have read and understood the counsel briefs explainer</v>
      </c>
      <c r="C44" s="13" t="s">
        <v>78</v>
      </c>
      <c r="D44" s="23" t="str">
        <f>IF(AND(B37="Proceed below",C44=""),"E","")</f>
        <v/>
      </c>
      <c r="E44" s="23" t="str">
        <f>IF(B44=Text!B44,"E","")</f>
        <v>E</v>
      </c>
      <c r="F44" t="s">
        <v>526</v>
      </c>
      <c r="G44" t="s">
        <v>519</v>
      </c>
    </row>
    <row r="45" spans="1:7" ht="27" thickTop="1" thickBot="1" x14ac:dyDescent="0.4">
      <c r="A45" s="121"/>
      <c r="B45" s="84" t="str">
        <f>IF($B$37&lt;&gt;"Proceed below","",IF(C44="Yes","Proceed below",IF(C44="No","Please contact OLSC for assistance","Read the explainer then select 'Yes' or 'No' from the drop down list")))</f>
        <v>Proceed below</v>
      </c>
      <c r="C45" s="88"/>
      <c r="F45" t="s">
        <v>404</v>
      </c>
      <c r="G45" t="s">
        <v>404</v>
      </c>
    </row>
    <row r="46" spans="1:7" ht="41.25" customHeight="1" thickTop="1" thickBot="1" x14ac:dyDescent="0.4">
      <c r="A46" s="119" t="s">
        <v>84</v>
      </c>
      <c r="B46" s="44" t="s">
        <v>87</v>
      </c>
      <c r="C46" s="73"/>
      <c r="F46" t="s">
        <v>404</v>
      </c>
      <c r="G46" t="s">
        <v>404</v>
      </c>
    </row>
    <row r="47" spans="1:7" ht="27" thickTop="1" thickBot="1" x14ac:dyDescent="0.4">
      <c r="A47" s="120"/>
      <c r="B47" s="128" t="str">
        <f>Text!B47</f>
        <v>Direct Briefs to male junior counsel</v>
      </c>
      <c r="C47" s="74"/>
      <c r="F47" t="s">
        <v>404</v>
      </c>
      <c r="G47" t="s">
        <v>404</v>
      </c>
    </row>
    <row r="48" spans="1:7" ht="27" thickTop="1" thickBot="1" x14ac:dyDescent="0.4">
      <c r="A48" s="120"/>
      <c r="B48" s="78" t="str">
        <f>Text!B48</f>
        <v>Total number</v>
      </c>
      <c r="C48" s="15">
        <v>0</v>
      </c>
      <c r="D48" s="23" t="str">
        <f>IF($B$45&lt;&gt;"Proceed below","",IF(AND($C$57&lt;&gt;"Check",C48=""),"E",IF(AND($C$57&lt;&gt;"Check",C48&lt;&gt;""),"",IF(NOT(ISNUMBER(C48)),"D",IF(AND(C48&gt;0,C49=0),"D",IF(AND(INT(C48)=C48,C48&lt;&gt;"",C48&gt;=0),"C","D"))))))</f>
        <v>C</v>
      </c>
      <c r="F48" t="s">
        <v>526</v>
      </c>
      <c r="G48" t="s">
        <v>404</v>
      </c>
    </row>
    <row r="49" spans="1:8" ht="27" thickTop="1" thickBot="1" x14ac:dyDescent="0.4">
      <c r="A49" s="120"/>
      <c r="B49" s="78" t="str">
        <f>Text!B49</f>
        <v>Total value</v>
      </c>
      <c r="C49" s="14">
        <v>0</v>
      </c>
      <c r="D49" s="23" t="str">
        <f>IF($B$45&lt;&gt;"Proceed below","",IF(AND($C$57&lt;&gt;"Check",C49=""),"E",IF(AND($C$57&lt;&gt;"Check",C49&lt;&gt;""),"",IF(NOT(ISNUMBER(C49)),"D",IF(AND(C49=0,C48&gt;0),"D",IF(AND(INT(C49)=C49,C49&lt;&gt;"",C49&gt;=0),"C","D"))))))</f>
        <v>C</v>
      </c>
      <c r="F49" t="s">
        <v>526</v>
      </c>
      <c r="G49" t="s">
        <v>404</v>
      </c>
    </row>
    <row r="50" spans="1:8" ht="27" thickTop="1" thickBot="1" x14ac:dyDescent="0.4">
      <c r="A50" s="120"/>
      <c r="B50" s="128" t="str">
        <f>Text!B50</f>
        <v>Direct Briefs to female junior counsel</v>
      </c>
      <c r="C50" s="74"/>
      <c r="F50" t="s">
        <v>404</v>
      </c>
      <c r="G50" t="s">
        <v>404</v>
      </c>
    </row>
    <row r="51" spans="1:8" ht="27" thickTop="1" thickBot="1" x14ac:dyDescent="0.4">
      <c r="A51" s="120"/>
      <c r="B51" s="78" t="str">
        <f>Text!B51</f>
        <v>Total number</v>
      </c>
      <c r="C51" s="15">
        <v>0</v>
      </c>
      <c r="D51" s="23" t="str">
        <f>IF($B$45&lt;&gt;"Proceed below","",IF(AND($C$57&lt;&gt;"Check",C51=""),"E",IF(AND($C$57&lt;&gt;"Check",C51&lt;&gt;""),"",IF(NOT(ISNUMBER(C51)),"D",IF(AND(C51&gt;0,C52=0),"D",IF(AND(INT(C51)=C51,C51&lt;&gt;"",C51&gt;=0),"C","D"))))))</f>
        <v>C</v>
      </c>
      <c r="F51" t="s">
        <v>526</v>
      </c>
      <c r="G51" t="s">
        <v>404</v>
      </c>
    </row>
    <row r="52" spans="1:8" ht="27" thickTop="1" thickBot="1" x14ac:dyDescent="0.4">
      <c r="A52" s="120"/>
      <c r="B52" s="78" t="str">
        <f>Text!B52</f>
        <v>Total value</v>
      </c>
      <c r="C52" s="14">
        <v>0</v>
      </c>
      <c r="D52" s="23" t="str">
        <f>IF($B$45&lt;&gt;"Proceed below","",IF(AND($C$57&lt;&gt;"Check",C52=""),"E",IF(AND($C$57&lt;&gt;"Check",C52&lt;&gt;""),"",IF(NOT(ISNUMBER(C52)),"D",IF(AND(C52=0,C51&gt;0),"D",IF(AND(INT(C52)=C52,C52&lt;&gt;"",C52&gt;=0),"C","D"))))))</f>
        <v>C</v>
      </c>
      <c r="F52" t="s">
        <v>526</v>
      </c>
      <c r="G52" t="s">
        <v>404</v>
      </c>
    </row>
    <row r="53" spans="1:8" ht="27" thickTop="1" thickBot="1" x14ac:dyDescent="0.4">
      <c r="A53" s="120"/>
      <c r="B53" s="128" t="str">
        <f>Text!B53</f>
        <v>Direct Briefs to gender X junior counsel</v>
      </c>
      <c r="C53" s="89"/>
      <c r="F53" t="s">
        <v>404</v>
      </c>
      <c r="G53" t="s">
        <v>404</v>
      </c>
    </row>
    <row r="54" spans="1:8" ht="27" thickTop="1" thickBot="1" x14ac:dyDescent="0.4">
      <c r="A54" s="120"/>
      <c r="B54" s="78" t="str">
        <f>Text!B54</f>
        <v>Total number</v>
      </c>
      <c r="C54" s="15">
        <v>0</v>
      </c>
      <c r="D54" s="23" t="str">
        <f>IF($B$45&lt;&gt;"Proceed below","",IF(AND($C$57&lt;&gt;"Check",C54=""),"E",IF(AND($C$57&lt;&gt;"Check",C54&lt;&gt;""),"",IF(NOT(ISNUMBER(C54)),"D",IF(AND(C54&gt;0,C55=0),"D",IF(AND(INT(C54)=C54,C54&lt;&gt;"",C54&gt;=0),"C","D"))))))</f>
        <v>C</v>
      </c>
      <c r="F54" t="s">
        <v>526</v>
      </c>
      <c r="G54" t="s">
        <v>404</v>
      </c>
    </row>
    <row r="55" spans="1:8" ht="27" thickTop="1" thickBot="1" x14ac:dyDescent="0.4">
      <c r="A55" s="120"/>
      <c r="B55" s="78" t="str">
        <f>Text!B55</f>
        <v>Total value</v>
      </c>
      <c r="C55" s="14">
        <v>0</v>
      </c>
      <c r="D55" s="23" t="str">
        <f>IF($B$45&lt;&gt;"Proceed below","",IF(AND($C$57&lt;&gt;"Check",C55=""),"E",IF(AND($C$57&lt;&gt;"Check",C55&lt;&gt;""),"",IF(NOT(ISNUMBER(C55)),"D",IF(AND(C55=0,C54&gt;0),"D",IF(AND(INT(C55)=C55,C55&lt;&gt;"",C55&gt;=0),"C","D"))))))</f>
        <v>C</v>
      </c>
      <c r="F55" t="s">
        <v>526</v>
      </c>
      <c r="G55" t="s">
        <v>404</v>
      </c>
    </row>
    <row r="56" spans="1:8" ht="27" customHeight="1" thickTop="1" thickBot="1" x14ac:dyDescent="0.4">
      <c r="A56" s="120"/>
      <c r="B56" s="51"/>
      <c r="C56" s="90"/>
      <c r="F56" t="s">
        <v>404</v>
      </c>
      <c r="G56" t="s">
        <v>404</v>
      </c>
      <c r="H56" t="s">
        <v>404</v>
      </c>
    </row>
    <row r="57" spans="1:8" ht="27" thickTop="1" thickBot="1" x14ac:dyDescent="0.4">
      <c r="A57" s="120"/>
      <c r="B57" s="126" t="str">
        <f>IF($B$45="Proceed below",Text!B57,"")</f>
        <v>Check details to proceed</v>
      </c>
      <c r="C57" s="13" t="s">
        <v>469</v>
      </c>
      <c r="D57" s="23" t="str">
        <f>IF(AND(B45="Proceed below",C48&lt;&gt;"",C49&lt;&gt;"",C51&lt;&gt;"",C52&lt;&gt;"",C54&lt;&gt;"",C55&lt;&gt;"",C57=""),"E","")</f>
        <v/>
      </c>
      <c r="E57" s="23" t="str">
        <f>IF(B57="Check details to proceed","O","")</f>
        <v>O</v>
      </c>
      <c r="F57" t="s">
        <v>526</v>
      </c>
      <c r="G57" t="s">
        <v>520</v>
      </c>
    </row>
    <row r="58" spans="1:8" ht="27" thickTop="1" thickBot="1" x14ac:dyDescent="0.4">
      <c r="A58" s="121"/>
      <c r="B58" s="84"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88"/>
      <c r="F58" t="s">
        <v>404</v>
      </c>
      <c r="G58" t="s">
        <v>404</v>
      </c>
    </row>
    <row r="59" spans="1:8" ht="41.25" customHeight="1" thickTop="1" thickBot="1" x14ac:dyDescent="0.4">
      <c r="A59" s="120"/>
      <c r="B59" s="128" t="str">
        <f>Text!B59</f>
        <v>Indirect Briefs to male junior counsel</v>
      </c>
      <c r="C59" s="74"/>
      <c r="F59" t="s">
        <v>404</v>
      </c>
      <c r="G59" t="s">
        <v>404</v>
      </c>
    </row>
    <row r="60" spans="1:8" ht="27" thickTop="1" thickBot="1" x14ac:dyDescent="0.4">
      <c r="A60" s="120"/>
      <c r="B60" s="78" t="str">
        <f>Text!B60</f>
        <v>Total number</v>
      </c>
      <c r="C60" s="15">
        <v>2</v>
      </c>
      <c r="D60" s="23" t="str">
        <f>IF($B$58&lt;&gt;"Proceed below","",IF(AND($C$69&lt;&gt;"Check",C60=""),"E",IF(AND($C$69&lt;&gt;"Check",C60&lt;&gt;""),"",IF(NOT(ISNUMBER(C60)),"D",IF(AND(C60&gt;0,C61=0),"D",IF(AND(INT(C60)=C60,C60&lt;&gt;"",C60&gt;=0),"C","D"))))))</f>
        <v>C</v>
      </c>
      <c r="F60" t="s">
        <v>526</v>
      </c>
      <c r="G60" t="s">
        <v>404</v>
      </c>
    </row>
    <row r="61" spans="1:8" ht="27" thickTop="1" thickBot="1" x14ac:dyDescent="0.4">
      <c r="A61" s="120"/>
      <c r="B61" s="78" t="str">
        <f>Text!B61</f>
        <v>Total value</v>
      </c>
      <c r="C61" s="14">
        <v>27828</v>
      </c>
      <c r="D61" s="23" t="str">
        <f>IF($B$58&lt;&gt;"Proceed below","",IF(AND($C$69&lt;&gt;"Check",C61=""),"E",IF(AND($C$69&lt;&gt;"Check",C61&lt;&gt;""),"",IF(NOT(ISNUMBER(C61)),"D",IF(AND(C61=0,C60&gt;0),"D",IF(AND(INT(C61)=C61,C61&lt;&gt;"",C61&gt;=0),"C","D"))))))</f>
        <v>C</v>
      </c>
      <c r="F61" t="s">
        <v>526</v>
      </c>
      <c r="G61" t="s">
        <v>404</v>
      </c>
    </row>
    <row r="62" spans="1:8" ht="27" thickTop="1" thickBot="1" x14ac:dyDescent="0.4">
      <c r="A62" s="120"/>
      <c r="B62" s="128" t="str">
        <f>Text!B62</f>
        <v>Indirect Briefs to female junior counsel</v>
      </c>
      <c r="C62" s="74"/>
      <c r="F62" t="s">
        <v>404</v>
      </c>
      <c r="G62" t="s">
        <v>404</v>
      </c>
    </row>
    <row r="63" spans="1:8" ht="27" thickTop="1" thickBot="1" x14ac:dyDescent="0.4">
      <c r="A63" s="120"/>
      <c r="B63" s="78" t="str">
        <f>Text!B63</f>
        <v>Total number</v>
      </c>
      <c r="C63" s="15">
        <v>15</v>
      </c>
      <c r="D63" s="23" t="str">
        <f>IF($B$58&lt;&gt;"Proceed below","",IF(AND($C$69&lt;&gt;"Check",C63=""),"E",IF(AND($C$69&lt;&gt;"Check",C63&lt;&gt;""),"",IF(NOT(ISNUMBER(C63)),"D",IF(AND(C63&gt;0,C64=0),"D",IF(AND(INT(C63)=C63,C63&lt;&gt;"",C63&gt;=0),"C","D"))))))</f>
        <v>C</v>
      </c>
      <c r="F63" t="s">
        <v>526</v>
      </c>
      <c r="G63" t="s">
        <v>404</v>
      </c>
    </row>
    <row r="64" spans="1:8" ht="27" thickTop="1" thickBot="1" x14ac:dyDescent="0.4">
      <c r="A64" s="120"/>
      <c r="B64" s="78" t="str">
        <f>Text!B64</f>
        <v>Total value</v>
      </c>
      <c r="C64" s="14">
        <v>48966</v>
      </c>
      <c r="D64" s="23" t="str">
        <f>IF($B$58&lt;&gt;"Proceed below","",IF(AND($C$69&lt;&gt;"Check",C64=""),"E",IF(AND($C$69&lt;&gt;"Check",C64&lt;&gt;""),"",IF(NOT(ISNUMBER(C64)),"D",IF(AND(C64=0,C63&gt;0),"D",IF(AND(INT(C64)=C64,C64&lt;&gt;"",C64&gt;=0),"C","D"))))))</f>
        <v>C</v>
      </c>
      <c r="F64" t="s">
        <v>526</v>
      </c>
      <c r="G64" t="s">
        <v>404</v>
      </c>
    </row>
    <row r="65" spans="1:7" ht="27" thickTop="1" thickBot="1" x14ac:dyDescent="0.4">
      <c r="A65" s="120"/>
      <c r="B65" s="128" t="str">
        <f>Text!B65</f>
        <v>Indirect Briefs to gender X junior counsel</v>
      </c>
      <c r="C65" s="89"/>
      <c r="F65" t="s">
        <v>404</v>
      </c>
      <c r="G65" t="s">
        <v>404</v>
      </c>
    </row>
    <row r="66" spans="1:7" ht="27" thickTop="1" thickBot="1" x14ac:dyDescent="0.4">
      <c r="A66" s="120"/>
      <c r="B66" s="78" t="str">
        <f>Text!B66</f>
        <v>Total number</v>
      </c>
      <c r="C66" s="15">
        <v>0</v>
      </c>
      <c r="D66" s="23" t="str">
        <f>IF($B$58&lt;&gt;"Proceed below","",IF(AND($C$69&lt;&gt;"Check",C66=""),"E",IF(AND($C$69&lt;&gt;"Check",C66&lt;&gt;""),"",IF(NOT(ISNUMBER(C66)),"D",IF(AND(C66&gt;0,C67=0),"D",IF(AND(INT(C66)=C66,C66&lt;&gt;"",C66&gt;=0),"C","D"))))))</f>
        <v>C</v>
      </c>
      <c r="F66" t="s">
        <v>526</v>
      </c>
      <c r="G66" t="s">
        <v>404</v>
      </c>
    </row>
    <row r="67" spans="1:7" ht="27" thickTop="1" thickBot="1" x14ac:dyDescent="0.4">
      <c r="A67" s="120"/>
      <c r="B67" s="78" t="str">
        <f>Text!B67</f>
        <v>Total value</v>
      </c>
      <c r="C67" s="14">
        <v>0</v>
      </c>
      <c r="D67" s="23" t="str">
        <f>IF($B$58&lt;&gt;"Proceed below","",IF(AND($C$69&lt;&gt;"Check",C67=""),"E",IF(AND($C$69&lt;&gt;"Check",C67&lt;&gt;""),"",IF(NOT(ISNUMBER(C67)),"D",IF(AND(C67=0,C66&gt;0),"D",IF(AND(INT(C67)=C67,C67&lt;&gt;"",C67&gt;=0),"C","D"))))))</f>
        <v>C</v>
      </c>
      <c r="F67" t="s">
        <v>526</v>
      </c>
      <c r="G67" t="s">
        <v>404</v>
      </c>
    </row>
    <row r="68" spans="1:7" ht="27.75" customHeight="1" thickTop="1" thickBot="1" x14ac:dyDescent="0.4">
      <c r="A68" s="120"/>
      <c r="B68" s="51"/>
      <c r="C68" s="90"/>
      <c r="F68" t="s">
        <v>404</v>
      </c>
      <c r="G68" t="s">
        <v>404</v>
      </c>
    </row>
    <row r="69" spans="1:7" ht="27" thickTop="1" thickBot="1" x14ac:dyDescent="0.4">
      <c r="A69" s="120"/>
      <c r="B69" s="126" t="str">
        <f>IF($B$58="Proceed below",Text!B69,"")</f>
        <v>Check details to proceed</v>
      </c>
      <c r="C69" s="13" t="s">
        <v>469</v>
      </c>
      <c r="D69" s="23" t="str">
        <f>IF(AND(B58="Proceed below",C60&lt;&gt;"",C61&lt;&gt;"",C63&lt;&gt;"",C64&lt;&gt;"",C66&lt;&gt;"",C67&lt;&gt;"",C69=""),"E","")</f>
        <v/>
      </c>
      <c r="E69" s="23" t="str">
        <f>IF(B69="Check details to proceed","O","")</f>
        <v>O</v>
      </c>
      <c r="F69" t="s">
        <v>526</v>
      </c>
      <c r="G69" t="s">
        <v>520</v>
      </c>
    </row>
    <row r="70" spans="1:7" ht="27" thickTop="1" thickBot="1" x14ac:dyDescent="0.4">
      <c r="A70" s="121"/>
      <c r="B70" s="84"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88"/>
      <c r="F70" t="s">
        <v>404</v>
      </c>
      <c r="G70" t="s">
        <v>404</v>
      </c>
    </row>
    <row r="71" spans="1:7" ht="43.5" customHeight="1" thickTop="1" thickBot="1" x14ac:dyDescent="0.4">
      <c r="A71" s="119" t="s">
        <v>86</v>
      </c>
      <c r="B71" s="44" t="s">
        <v>85</v>
      </c>
      <c r="C71" s="73"/>
      <c r="F71" t="s">
        <v>404</v>
      </c>
      <c r="G71" t="s">
        <v>404</v>
      </c>
    </row>
    <row r="72" spans="1:7" ht="27" thickTop="1" thickBot="1" x14ac:dyDescent="0.4">
      <c r="A72" s="120"/>
      <c r="B72" s="128" t="str">
        <f>Text!B72</f>
        <v>Direct Briefs to male senior counsel</v>
      </c>
      <c r="C72" s="74"/>
      <c r="F72" t="s">
        <v>404</v>
      </c>
      <c r="G72" t="s">
        <v>404</v>
      </c>
    </row>
    <row r="73" spans="1:7" ht="27" thickTop="1" thickBot="1" x14ac:dyDescent="0.4">
      <c r="A73" s="120"/>
      <c r="B73" s="78" t="str">
        <f>Text!B73</f>
        <v>Total number</v>
      </c>
      <c r="C73" s="15">
        <v>0</v>
      </c>
      <c r="D73" s="23" t="str">
        <f>IF($B$70&lt;&gt;"Proceed below","",IF(AND($C$82&lt;&gt;"Check",C73=""),"E",IF(AND($C$82&lt;&gt;"Check",C73&lt;&gt;""),"",IF(NOT(ISNUMBER(C73)),"D",IF(AND(C73&gt;0,C74=0),"D",IF(AND(INT(C73)=C73,C73&lt;&gt;"",C73&gt;=0),"C","D"))))))</f>
        <v>C</v>
      </c>
      <c r="F73" t="s">
        <v>526</v>
      </c>
      <c r="G73" t="s">
        <v>404</v>
      </c>
    </row>
    <row r="74" spans="1:7" ht="27" thickTop="1" thickBot="1" x14ac:dyDescent="0.4">
      <c r="A74" s="120"/>
      <c r="B74" s="78" t="str">
        <f>Text!B74</f>
        <v>Total value</v>
      </c>
      <c r="C74" s="14">
        <v>0</v>
      </c>
      <c r="D74" s="23" t="str">
        <f>IF($B$70&lt;&gt;"Proceed below","",IF(AND($C$82&lt;&gt;"Check",C74=""),"E",IF(AND($C$82&lt;&gt;"Check",C74&lt;&gt;""),"",IF(NOT(ISNUMBER(C74)),"D",IF(AND(C74=0,C73&gt;0),"D",IF(AND(INT(C74)=C74,C74&lt;&gt;"",C74&gt;=0),"C","D"))))))</f>
        <v>C</v>
      </c>
      <c r="F74" t="s">
        <v>526</v>
      </c>
      <c r="G74" t="s">
        <v>404</v>
      </c>
    </row>
    <row r="75" spans="1:7" ht="27" thickTop="1" thickBot="1" x14ac:dyDescent="0.4">
      <c r="A75" s="120"/>
      <c r="B75" s="128" t="str">
        <f>Text!B75</f>
        <v>Direct Briefs to female senior counsel</v>
      </c>
      <c r="C75" s="74"/>
      <c r="F75" t="s">
        <v>404</v>
      </c>
      <c r="G75" t="s">
        <v>404</v>
      </c>
    </row>
    <row r="76" spans="1:7" ht="27" thickTop="1" thickBot="1" x14ac:dyDescent="0.4">
      <c r="A76" s="120"/>
      <c r="B76" s="78" t="str">
        <f>Text!B76</f>
        <v>Total number</v>
      </c>
      <c r="C76" s="15">
        <v>0</v>
      </c>
      <c r="D76" s="23" t="str">
        <f>IF($B$70&lt;&gt;"Proceed below","",IF(AND($C$82&lt;&gt;"Check",C76=""),"E",IF(AND($C$82&lt;&gt;"Check",C76&lt;&gt;""),"",IF(NOT(ISNUMBER(C76)),"D",IF(AND(C76&gt;0,C77=0),"D",IF(AND(INT(C76)=C76,C76&lt;&gt;"",C76&gt;=0),"C","D"))))))</f>
        <v>C</v>
      </c>
      <c r="F76" t="s">
        <v>526</v>
      </c>
      <c r="G76" t="s">
        <v>404</v>
      </c>
    </row>
    <row r="77" spans="1:7" ht="27" thickTop="1" thickBot="1" x14ac:dyDescent="0.4">
      <c r="A77" s="120"/>
      <c r="B77" s="78" t="str">
        <f>Text!B77</f>
        <v>Total value</v>
      </c>
      <c r="C77" s="14">
        <v>0</v>
      </c>
      <c r="D77" s="23" t="str">
        <f>IF($B$70&lt;&gt;"Proceed below","",IF(AND($C$82&lt;&gt;"Check",C77=""),"E",IF(AND($C$82&lt;&gt;"Check",C77&lt;&gt;""),"",IF(NOT(ISNUMBER(C77)),"D",IF(AND(C77=0,C76&gt;0),"D",IF(AND(INT(C77)=C77,C77&lt;&gt;"",C77&gt;=0),"C","D"))))))</f>
        <v>C</v>
      </c>
      <c r="F77" t="s">
        <v>526</v>
      </c>
      <c r="G77" t="s">
        <v>404</v>
      </c>
    </row>
    <row r="78" spans="1:7" ht="27" thickTop="1" thickBot="1" x14ac:dyDescent="0.4">
      <c r="A78" s="120"/>
      <c r="B78" s="128" t="str">
        <f>Text!B78</f>
        <v>Direct Briefs to gender X senior counsel</v>
      </c>
      <c r="C78" s="89"/>
      <c r="F78" t="s">
        <v>404</v>
      </c>
      <c r="G78" t="s">
        <v>404</v>
      </c>
    </row>
    <row r="79" spans="1:7" ht="27" thickTop="1" thickBot="1" x14ac:dyDescent="0.4">
      <c r="A79" s="120"/>
      <c r="B79" s="78" t="str">
        <f>Text!B79</f>
        <v>Total number</v>
      </c>
      <c r="C79" s="15">
        <v>0</v>
      </c>
      <c r="D79" s="23" t="str">
        <f>IF($B$70&lt;&gt;"Proceed below","",IF(AND($C$82&lt;&gt;"Check",C79=""),"E",IF(AND($C$82&lt;&gt;"Check",C79&lt;&gt;""),"",IF(NOT(ISNUMBER(C79)),"D",IF(AND(C79&gt;0,C80=0),"D",IF(AND(INT(C79)=C79,C79&lt;&gt;"",C79&gt;=0),"C","D"))))))</f>
        <v>C</v>
      </c>
      <c r="F79" t="s">
        <v>526</v>
      </c>
      <c r="G79" t="s">
        <v>404</v>
      </c>
    </row>
    <row r="80" spans="1:7" ht="27" thickTop="1" thickBot="1" x14ac:dyDescent="0.4">
      <c r="A80" s="120"/>
      <c r="B80" s="78" t="str">
        <f>Text!B80</f>
        <v>Total value</v>
      </c>
      <c r="C80" s="14">
        <v>0</v>
      </c>
      <c r="D80" s="23" t="str">
        <f>IF($B$70&lt;&gt;"Proceed below","",IF(AND($C$82&lt;&gt;"Check",C80=""),"E",IF(AND($C$82&lt;&gt;"Check",C80&lt;&gt;""),"",IF(NOT(ISNUMBER(C80)),"D",IF(AND(C80=0,C79&gt;0),"D",IF(AND(INT(C80)=C80,C80&lt;&gt;"",C80&gt;=0),"C","D"))))))</f>
        <v>C</v>
      </c>
      <c r="F80" t="s">
        <v>526</v>
      </c>
      <c r="G80" t="s">
        <v>404</v>
      </c>
    </row>
    <row r="81" spans="1:7" ht="31.5" customHeight="1" thickTop="1" thickBot="1" x14ac:dyDescent="0.4">
      <c r="A81" s="120"/>
      <c r="B81" s="51"/>
      <c r="C81" s="90"/>
      <c r="F81" t="s">
        <v>404</v>
      </c>
      <c r="G81" t="s">
        <v>404</v>
      </c>
    </row>
    <row r="82" spans="1:7" ht="27" thickTop="1" thickBot="1" x14ac:dyDescent="0.4">
      <c r="A82" s="120"/>
      <c r="B82" s="126" t="str">
        <f>IF($B$70="Proceed below",Text!B82,"")</f>
        <v>Check details to proceed</v>
      </c>
      <c r="C82" s="13" t="s">
        <v>469</v>
      </c>
      <c r="D82" s="23" t="str">
        <f>IF(AND(B70="Proceed below",C73&lt;&gt;"",C74&lt;&gt;"",C76&lt;&gt;"",C77&lt;&gt;"",C79&lt;&gt;"",C80&lt;&gt;"",C82=""),"E","")</f>
        <v/>
      </c>
      <c r="E82" s="23" t="str">
        <f>IF(B82="Check details to proceed","O","")</f>
        <v>O</v>
      </c>
      <c r="F82" t="s">
        <v>526</v>
      </c>
      <c r="G82" t="s">
        <v>520</v>
      </c>
    </row>
    <row r="83" spans="1:7" ht="27" thickTop="1" thickBot="1" x14ac:dyDescent="0.4">
      <c r="A83" s="121"/>
      <c r="B83" s="84"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88"/>
      <c r="F83" t="s">
        <v>404</v>
      </c>
      <c r="G83" t="s">
        <v>404</v>
      </c>
    </row>
    <row r="84" spans="1:7" ht="38.450000000000003" customHeight="1" thickTop="1" thickBot="1" x14ac:dyDescent="0.4">
      <c r="A84" s="120"/>
      <c r="B84" s="128" t="str">
        <f>Text!B84</f>
        <v>Indirect Briefs to male senior counsel</v>
      </c>
      <c r="C84" s="74"/>
      <c r="F84" t="s">
        <v>404</v>
      </c>
      <c r="G84" t="s">
        <v>404</v>
      </c>
    </row>
    <row r="85" spans="1:7" ht="27" thickTop="1" thickBot="1" x14ac:dyDescent="0.4">
      <c r="A85" s="120"/>
      <c r="B85" s="78" t="str">
        <f>Text!B85</f>
        <v>Total number</v>
      </c>
      <c r="C85" s="15">
        <v>18</v>
      </c>
      <c r="D85" s="23" t="str">
        <f>IF($B$83&lt;&gt;"Proceed below","",IF(AND($C$94&lt;&gt;"Check",C85=""),"E",IF(AND($C$94&lt;&gt;"Check",C85&lt;&gt;""),"",IF(NOT(ISNUMBER(C85)),"D",IF(AND(C85&gt;0,C86=0),"D",IF(AND(INT(C85)=C85,C85&lt;&gt;"",C85&gt;=0),"C","D"))))))</f>
        <v>C</v>
      </c>
      <c r="F85" t="s">
        <v>526</v>
      </c>
      <c r="G85" t="s">
        <v>404</v>
      </c>
    </row>
    <row r="86" spans="1:7" ht="27" thickTop="1" thickBot="1" x14ac:dyDescent="0.4">
      <c r="A86" s="120"/>
      <c r="B86" s="78" t="str">
        <f>Text!B86</f>
        <v>Total value</v>
      </c>
      <c r="C86" s="14">
        <v>87305</v>
      </c>
      <c r="D86" s="23" t="str">
        <f>IF($B$83&lt;&gt;"Proceed below","",IF(AND($C$94&lt;&gt;"Check",C86=""),"E",IF(AND($C$94&lt;&gt;"Check",C86&lt;&gt;""),"",IF(NOT(ISNUMBER(C86)),"D",IF(AND(C86=0,C85&gt;0),"D",IF(AND(INT(C86)=C86,C86&lt;&gt;"",C86&gt;=0),"C","D"))))))</f>
        <v>C</v>
      </c>
      <c r="F86" t="s">
        <v>526</v>
      </c>
      <c r="G86" t="s">
        <v>404</v>
      </c>
    </row>
    <row r="87" spans="1:7" ht="27" thickTop="1" thickBot="1" x14ac:dyDescent="0.4">
      <c r="A87" s="120"/>
      <c r="B87" s="128" t="str">
        <f>Text!B87</f>
        <v>Indirect Briefs to female senior counsel</v>
      </c>
      <c r="C87" s="74"/>
      <c r="F87" t="s">
        <v>404</v>
      </c>
      <c r="G87" t="s">
        <v>404</v>
      </c>
    </row>
    <row r="88" spans="1:7" ht="27" thickTop="1" thickBot="1" x14ac:dyDescent="0.4">
      <c r="A88" s="120"/>
      <c r="B88" s="78" t="str">
        <f>Text!B88</f>
        <v>Total number</v>
      </c>
      <c r="C88" s="15">
        <v>1</v>
      </c>
      <c r="D88" s="23" t="str">
        <f>IF($B$83&lt;&gt;"Proceed below","",IF(AND($C$94&lt;&gt;"Check",C88=""),"E",IF(AND($C$94&lt;&gt;"Check",C88&lt;&gt;""),"",IF(NOT(ISNUMBER(C88)),"D",IF(AND(C88&gt;0,C89=0),"D",IF(AND(INT(C88)=C88,C88&lt;&gt;"",C88&gt;=0),"C","D"))))))</f>
        <v>C</v>
      </c>
      <c r="F88" t="s">
        <v>526</v>
      </c>
      <c r="G88" t="s">
        <v>404</v>
      </c>
    </row>
    <row r="89" spans="1:7" ht="27" thickTop="1" thickBot="1" x14ac:dyDescent="0.4">
      <c r="A89" s="120"/>
      <c r="B89" s="78" t="str">
        <f>Text!B89</f>
        <v>Total value</v>
      </c>
      <c r="C89" s="14">
        <v>11147</v>
      </c>
      <c r="D89" s="23" t="str">
        <f>IF($B$83&lt;&gt;"Proceed below","",IF(AND($C$94&lt;&gt;"Check",C89=""),"E",IF(AND($C$94&lt;&gt;"Check",C89&lt;&gt;""),"",IF(NOT(ISNUMBER(C89)),"D",IF(AND(C89=0,C88&gt;0),"D",IF(AND(INT(C89)=C89,C89&lt;&gt;"",C89&gt;=0),"C","D"))))))</f>
        <v>C</v>
      </c>
      <c r="F89" t="s">
        <v>526</v>
      </c>
      <c r="G89" t="s">
        <v>404</v>
      </c>
    </row>
    <row r="90" spans="1:7" ht="27" thickTop="1" thickBot="1" x14ac:dyDescent="0.4">
      <c r="A90" s="120"/>
      <c r="B90" s="128" t="str">
        <f>Text!B90</f>
        <v>Indirect Briefs to gender X senior counsel</v>
      </c>
      <c r="C90" s="89"/>
      <c r="F90" t="s">
        <v>404</v>
      </c>
      <c r="G90" t="s">
        <v>404</v>
      </c>
    </row>
    <row r="91" spans="1:7" ht="27" thickTop="1" thickBot="1" x14ac:dyDescent="0.4">
      <c r="A91" s="120"/>
      <c r="B91" s="78" t="str">
        <f>Text!B91</f>
        <v>Total number</v>
      </c>
      <c r="C91" s="15">
        <v>0</v>
      </c>
      <c r="D91" s="23" t="str">
        <f>IF($B$83&lt;&gt;"Proceed below","",IF(AND($C$94&lt;&gt;"Check",C91=""),"E",IF(AND($C$94&lt;&gt;"Check",C91&lt;&gt;""),"",IF(NOT(ISNUMBER(C91)),"D",IF(AND(C91&gt;0,C92=0),"D",IF(AND(INT(C91)=C91,C91&lt;&gt;"",C91&gt;=0),"C","D"))))))</f>
        <v>C</v>
      </c>
      <c r="F91" t="s">
        <v>526</v>
      </c>
      <c r="G91" t="s">
        <v>404</v>
      </c>
    </row>
    <row r="92" spans="1:7" ht="27" thickTop="1" thickBot="1" x14ac:dyDescent="0.4">
      <c r="A92" s="120"/>
      <c r="B92" s="78" t="str">
        <f>Text!B92</f>
        <v>Total value</v>
      </c>
      <c r="C92" s="14">
        <v>0</v>
      </c>
      <c r="D92" s="23" t="str">
        <f>IF($B$83&lt;&gt;"Proceed below","",IF(AND($C$94&lt;&gt;"Check",C92=""),"E",IF(AND($C$94&lt;&gt;"Check",C92&lt;&gt;""),"",IF(NOT(ISNUMBER(C92)),"D",IF(AND(C92=0,C91&gt;0),"D",IF(AND(INT(C92)=C92,C92&lt;&gt;"",C92&gt;=0),"C","D"))))))</f>
        <v>C</v>
      </c>
      <c r="F92" t="s">
        <v>526</v>
      </c>
      <c r="G92" t="s">
        <v>404</v>
      </c>
    </row>
    <row r="93" spans="1:7" ht="31.5" customHeight="1" thickTop="1" thickBot="1" x14ac:dyDescent="0.4">
      <c r="A93" s="120"/>
      <c r="B93" s="51"/>
      <c r="C93" s="90"/>
      <c r="F93" t="s">
        <v>404</v>
      </c>
      <c r="G93" t="s">
        <v>404</v>
      </c>
    </row>
    <row r="94" spans="1:7" ht="27" thickTop="1" thickBot="1" x14ac:dyDescent="0.4">
      <c r="A94" s="120"/>
      <c r="B94" s="126" t="str">
        <f>IF($B$83="Proceed below",Text!B94,"")</f>
        <v>Check details to proceed</v>
      </c>
      <c r="C94" s="13" t="s">
        <v>469</v>
      </c>
      <c r="D94" s="23" t="str">
        <f>IF(AND(B83="Proceed below",C85&lt;&gt;"",C86&lt;&gt;"",C88&lt;&gt;"",C89&lt;&gt;"",C91&lt;&gt;"",C92&lt;&gt;"",C94=""),"E","")</f>
        <v/>
      </c>
      <c r="E94" s="23" t="str">
        <f>IF(B94="Check details to proceed","O","")</f>
        <v>O</v>
      </c>
      <c r="F94" t="s">
        <v>526</v>
      </c>
      <c r="G94" t="s">
        <v>520</v>
      </c>
    </row>
    <row r="95" spans="1:7" ht="27" thickTop="1" thickBot="1" x14ac:dyDescent="0.4">
      <c r="A95" s="121"/>
      <c r="B95" s="84"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88"/>
      <c r="F95" t="s">
        <v>404</v>
      </c>
      <c r="G95" t="s">
        <v>404</v>
      </c>
    </row>
    <row r="96" spans="1:7" ht="38.1" customHeight="1" thickTop="1" thickBot="1" x14ac:dyDescent="0.4">
      <c r="A96" s="119" t="s">
        <v>89</v>
      </c>
      <c r="B96" s="44" t="s">
        <v>90</v>
      </c>
      <c r="C96" s="73"/>
      <c r="F96" t="s">
        <v>404</v>
      </c>
      <c r="G96" t="s">
        <v>404</v>
      </c>
    </row>
    <row r="97" spans="1:7" ht="49.5" customHeight="1" thickTop="1" x14ac:dyDescent="0.35">
      <c r="A97" s="107" t="str">
        <f>Text!A97</f>
        <v>What is this section?</v>
      </c>
      <c r="B97" s="34" t="str">
        <f>Text!B97</f>
        <v xml:space="preserve">
In this section you are required to report the total value of your entity’s expenditure on disbursements. 
</v>
      </c>
      <c r="C97" s="74"/>
      <c r="F97" t="s">
        <v>404</v>
      </c>
      <c r="G97" t="s">
        <v>404</v>
      </c>
    </row>
    <row r="98" spans="1:7" ht="82.5" customHeight="1" x14ac:dyDescent="0.35">
      <c r="A98" s="107" t="str">
        <f>Text!A98</f>
        <v>What are disbursements?</v>
      </c>
      <c r="B98" s="34"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74"/>
      <c r="F98" t="s">
        <v>404</v>
      </c>
      <c r="G98" t="s">
        <v>404</v>
      </c>
    </row>
    <row r="99" spans="1:7" ht="61.5" customHeight="1" x14ac:dyDescent="0.35">
      <c r="A99" s="107" t="str">
        <f>Text!A99</f>
        <v>How are disbursements reported?</v>
      </c>
      <c r="B99" s="34" t="str">
        <f>Text!B99</f>
        <v xml:space="preserve">
The figure must be a whole dollar amount, GST exclusive. Figures including cents will not be accepted. If there were no disbursements, enter '0' for a total value of $0. 
</v>
      </c>
      <c r="C99" s="74"/>
      <c r="F99" t="s">
        <v>404</v>
      </c>
      <c r="G99" t="s">
        <v>404</v>
      </c>
    </row>
    <row r="100" spans="1:7" ht="29.45" customHeight="1" thickBot="1" x14ac:dyDescent="0.4">
      <c r="A100" s="107"/>
      <c r="B100" s="75"/>
      <c r="C100" s="74"/>
      <c r="F100" t="s">
        <v>404</v>
      </c>
      <c r="G100" t="s">
        <v>404</v>
      </c>
    </row>
    <row r="101" spans="1:7" ht="27" thickTop="1" thickBot="1" x14ac:dyDescent="0.4">
      <c r="A101" s="120"/>
      <c r="B101" s="126" t="str">
        <f>IF($B$95&lt;&gt;"Proceed below","",Text!B101)</f>
        <v>Please confirm you have read and understood the Disbursements explainer</v>
      </c>
      <c r="C101" s="13" t="s">
        <v>78</v>
      </c>
      <c r="D101" s="23" t="str">
        <f>IF(AND(B95="Proceed below",C101=""),"E","")</f>
        <v/>
      </c>
      <c r="E101" s="23" t="str">
        <f>IF(B101=Text!B101,"E","")</f>
        <v>E</v>
      </c>
      <c r="F101" t="s">
        <v>526</v>
      </c>
      <c r="G101" t="s">
        <v>519</v>
      </c>
    </row>
    <row r="102" spans="1:7" ht="27" thickTop="1" thickBot="1" x14ac:dyDescent="0.4">
      <c r="A102" s="121"/>
      <c r="B102" s="84" t="str">
        <f>IF($B$95&lt;&gt;"Proceed below","",IF($C$101="Yes","Proceed below",IF($C$101="No","Contact OLSC for assistance","Read the explainer then select 'Yes' or 'No' from the drop down list")))</f>
        <v>Proceed below</v>
      </c>
      <c r="C102" s="88"/>
      <c r="F102" t="s">
        <v>404</v>
      </c>
      <c r="G102" t="s">
        <v>404</v>
      </c>
    </row>
    <row r="103" spans="1:7" ht="36.950000000000003" customHeight="1" thickTop="1" thickBot="1" x14ac:dyDescent="0.4">
      <c r="A103" s="119" t="s">
        <v>89</v>
      </c>
      <c r="B103" s="44" t="s">
        <v>14</v>
      </c>
      <c r="C103" s="73"/>
      <c r="F103" t="s">
        <v>404</v>
      </c>
      <c r="G103" t="s">
        <v>404</v>
      </c>
    </row>
    <row r="104" spans="1:7" ht="27" thickTop="1" thickBot="1" x14ac:dyDescent="0.4">
      <c r="A104" s="120"/>
      <c r="B104" s="78" t="str">
        <f>Text!B104</f>
        <v>Total value of disbursements</v>
      </c>
      <c r="C104" s="14">
        <v>19139</v>
      </c>
      <c r="D104" s="23" t="str">
        <f>IF($B$102&lt;&gt;"Proceed below","",IF(AND(C106&lt;&gt;"Check",C104=""),"E",IF(AND(C106&lt;&gt;"Check",C104&lt;&gt;""),"",IF(NOT(ISNUMBER(C104)),"D",IF(AND(INT(C104)=C104,C104&lt;&gt;"",C104&gt;=0),"C","D")))))</f>
        <v>C</v>
      </c>
      <c r="F104" t="s">
        <v>526</v>
      </c>
      <c r="G104" t="s">
        <v>404</v>
      </c>
    </row>
    <row r="105" spans="1:7" ht="27" thickTop="1" thickBot="1" x14ac:dyDescent="0.4">
      <c r="A105" s="120"/>
      <c r="B105" s="51"/>
      <c r="C105" s="90"/>
      <c r="F105" t="s">
        <v>404</v>
      </c>
      <c r="G105" t="s">
        <v>404</v>
      </c>
    </row>
    <row r="106" spans="1:7" ht="27" thickTop="1" thickBot="1" x14ac:dyDescent="0.4">
      <c r="A106" s="120"/>
      <c r="B106" s="126" t="str">
        <f>IF($B$102="Proceed below",Text!B106,"")</f>
        <v>Check details to proceed</v>
      </c>
      <c r="C106" s="13" t="s">
        <v>469</v>
      </c>
      <c r="D106" s="23" t="str">
        <f>IF(AND(B102="Proceed below",C104&lt;&gt;"",C106=""),"E","")</f>
        <v/>
      </c>
      <c r="E106" s="23" t="str">
        <f>IF(B106="Check details to proceed","O","")</f>
        <v>O</v>
      </c>
      <c r="F106" t="s">
        <v>526</v>
      </c>
      <c r="G106" t="s">
        <v>520</v>
      </c>
    </row>
    <row r="107" spans="1:7" ht="27" thickTop="1" thickBot="1" x14ac:dyDescent="0.4">
      <c r="A107" s="121"/>
      <c r="B107" s="84"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88"/>
      <c r="F107" t="s">
        <v>404</v>
      </c>
      <c r="G107" t="s">
        <v>404</v>
      </c>
    </row>
    <row r="108" spans="1:7" ht="42.95" customHeight="1" thickTop="1" thickBot="1" x14ac:dyDescent="0.4">
      <c r="A108" s="119" t="s">
        <v>91</v>
      </c>
      <c r="B108" s="44" t="s">
        <v>515</v>
      </c>
      <c r="C108" s="73"/>
      <c r="F108" t="s">
        <v>404</v>
      </c>
      <c r="G108" t="s">
        <v>404</v>
      </c>
    </row>
    <row r="109" spans="1:7" ht="134.25" customHeight="1" thickTop="1" x14ac:dyDescent="0.35">
      <c r="A109" s="107" t="str">
        <f>Text!A109</f>
        <v>What is this section?</v>
      </c>
      <c r="B109" s="34"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74"/>
      <c r="F109" t="s">
        <v>404</v>
      </c>
      <c r="G109" t="s">
        <v>404</v>
      </c>
    </row>
    <row r="110" spans="1:7" ht="177" customHeight="1" x14ac:dyDescent="0.35">
      <c r="A110" s="107" t="str">
        <f>Text!A110</f>
        <v>What expenditure is to be reported?</v>
      </c>
      <c r="B110" s="34" t="str">
        <f>Text!B110</f>
        <v xml:space="preserve">
Entities that participated in the 'Whole of Australian Government Legal Services Panel' at any time during the financial year must report their 2023-24 off-Panel expenditure through use of the 10% off-Panel Allowance and Exemptions (only for that time they were participating in the Panel).
Entities must report their total 2023-24 expenditure under the 'Provision of Tax Technical Legal Services Panel', and the 'ACCC/AER Competition and Consumer Law Panel 2019'.
Legal services provider specific figures will be captured in the total value of professional fees that are reported in Section 5. To prevent double counting, the figures in this Section 4 are not added to total legal expenditure.
</v>
      </c>
      <c r="C110" s="74"/>
      <c r="F110" t="s">
        <v>404</v>
      </c>
      <c r="G110" t="s">
        <v>404</v>
      </c>
    </row>
    <row r="111" spans="1:7" ht="67.5" customHeight="1" x14ac:dyDescent="0.35">
      <c r="A111" s="107" t="str">
        <f>Text!A111</f>
        <v>How is legal services panel expenditure reported?</v>
      </c>
      <c r="B111" s="34" t="str">
        <f>Text!B111</f>
        <v xml:space="preserve">
The figures must be in whole dollar amounts, GST exclusive. Figures including cents will not be accepted. If there was no expenditure, enter '0' for a value of $0.
</v>
      </c>
      <c r="C111" s="74"/>
      <c r="F111" t="s">
        <v>404</v>
      </c>
      <c r="G111" t="s">
        <v>404</v>
      </c>
    </row>
    <row r="112" spans="1:7" ht="33" customHeight="1" thickBot="1" x14ac:dyDescent="0.4">
      <c r="A112" s="107"/>
      <c r="B112" s="75"/>
      <c r="C112" s="74"/>
      <c r="F112" t="s">
        <v>404</v>
      </c>
      <c r="G112" t="s">
        <v>404</v>
      </c>
    </row>
    <row r="113" spans="1:7" ht="27" thickTop="1" thickBot="1" x14ac:dyDescent="0.4">
      <c r="A113" s="120"/>
      <c r="B113" s="126" t="str">
        <f>IF($B$107&lt;&gt;"Proceed below","",Text!B113)</f>
        <v>Please confirm you have read and understood the Legal Services Panels explainer</v>
      </c>
      <c r="C113" s="13" t="s">
        <v>78</v>
      </c>
      <c r="D113" s="23" t="str">
        <f>IF(AND(B107="Proceed below",C113=""),"E","")</f>
        <v/>
      </c>
      <c r="E113" s="23" t="str">
        <f>IF(B113=Text!B113,"E","")</f>
        <v>E</v>
      </c>
      <c r="F113" t="s">
        <v>526</v>
      </c>
      <c r="G113" t="s">
        <v>519</v>
      </c>
    </row>
    <row r="114" spans="1:7" ht="27" thickTop="1" thickBot="1" x14ac:dyDescent="0.4">
      <c r="A114" s="121"/>
      <c r="B114" s="84" t="str">
        <f>IF($B$107&lt;&gt;"Proceed below","",IF($C$113="Yes","Proceed below",IF($C$113="No","Please contact OLSC for assistance","Read the explainer then select 'Yes' or 'No' from the drop down list")))</f>
        <v>Proceed below</v>
      </c>
      <c r="C114" s="88"/>
      <c r="F114" t="s">
        <v>404</v>
      </c>
      <c r="G114" t="s">
        <v>404</v>
      </c>
    </row>
    <row r="115" spans="1:7" ht="36.950000000000003" customHeight="1" thickTop="1" thickBot="1" x14ac:dyDescent="0.4">
      <c r="A115" s="119" t="s">
        <v>91</v>
      </c>
      <c r="B115" s="44" t="s">
        <v>516</v>
      </c>
      <c r="C115" s="73"/>
      <c r="F115" t="s">
        <v>404</v>
      </c>
      <c r="G115" t="s">
        <v>404</v>
      </c>
    </row>
    <row r="116" spans="1:7" ht="27" thickTop="1" thickBot="1" x14ac:dyDescent="0.4">
      <c r="A116" s="112"/>
      <c r="B116" s="124" t="str">
        <f>Text!B116</f>
        <v>Whole of Australian Government Legal Services Panel</v>
      </c>
      <c r="C116" s="91"/>
      <c r="F116" t="s">
        <v>404</v>
      </c>
      <c r="G116" t="s">
        <v>404</v>
      </c>
    </row>
    <row r="117" spans="1:7" ht="33.75" thickBot="1" x14ac:dyDescent="0.4">
      <c r="A117" s="120"/>
      <c r="B117" s="124" t="str">
        <f>Text!B117</f>
        <v>Did your entity participate in the Whole of Australian Government Legal Services Panel at any time during 2023-24?</v>
      </c>
      <c r="C117" s="12" t="str">
        <f>IF($B$114&lt;&gt;"Proceed below","",INDEX(onthepanel,MATCH($C$6,agencyname,0)))</f>
        <v>Yes</v>
      </c>
      <c r="D117" s="23" t="str">
        <f>IF($B$114&lt;&gt;"Proceed below","",IF(C123&lt;&gt;"Check","",IF($C$117&lt;&gt;"","C","D")))</f>
        <v>C</v>
      </c>
      <c r="F117" t="s">
        <v>526</v>
      </c>
      <c r="G117" t="s">
        <v>525</v>
      </c>
    </row>
    <row r="118" spans="1:7" ht="26.25" thickBot="1" x14ac:dyDescent="0.4">
      <c r="A118" s="112"/>
      <c r="B118" s="124" t="str">
        <f>Text!B118</f>
        <v>Provision of Tax Technical Legal Services Panel</v>
      </c>
      <c r="C118" s="74"/>
      <c r="F118" t="s">
        <v>404</v>
      </c>
      <c r="G118" t="s">
        <v>404</v>
      </c>
    </row>
    <row r="119" spans="1:7" ht="27" thickTop="1" thickBot="1" x14ac:dyDescent="0.4">
      <c r="A119" s="120"/>
      <c r="B119" s="78" t="str">
        <f>Text!B119</f>
        <v>Total value of professional fee expenditure on Provision of Tax Technical Legal Services Panel for 2023-24</v>
      </c>
      <c r="C119" s="14">
        <v>0</v>
      </c>
      <c r="D119" s="23" t="str">
        <f>IF($B$114&lt;&gt;"Proceed below","",IF(AND($C$123&lt;&gt;"Check",C119=""),"E",IF(AND($C$123&lt;&gt;"Check",C119&lt;&gt;""),"",IF(NOT(ISNUMBER(C119)),"D",IF(AND(INT(C119)=C119,C119&lt;&gt;"",C119&gt;=0),"C","D")))))</f>
        <v>C</v>
      </c>
      <c r="F119" t="s">
        <v>526</v>
      </c>
      <c r="G119" t="s">
        <v>404</v>
      </c>
    </row>
    <row r="120" spans="1:7" ht="27" thickTop="1" thickBot="1" x14ac:dyDescent="0.4">
      <c r="A120" s="112"/>
      <c r="B120" s="124" t="str">
        <f>Text!B120</f>
        <v>ACCC/AER Competition and Consumer Law Panel 2019</v>
      </c>
      <c r="C120" s="74"/>
      <c r="F120" t="s">
        <v>404</v>
      </c>
      <c r="G120" t="s">
        <v>404</v>
      </c>
    </row>
    <row r="121" spans="1:7" ht="33.75" thickBot="1" x14ac:dyDescent="0.4">
      <c r="A121" s="120"/>
      <c r="B121" s="124" t="str">
        <f>Text!B121</f>
        <v>Total value of professional fee expenditure on ACCC/AER Competition and Consumer Panel 2019 for 2023-24</v>
      </c>
      <c r="C121" s="14">
        <v>0</v>
      </c>
      <c r="D121" s="23" t="str">
        <f>IF($B$114&lt;&gt;"Proceed below","",IF(AND($C$123&lt;&gt;"Check",C121=""),"E",IF(AND($C$123&lt;&gt;"Check",C121&lt;&gt;""),"",IF(NOT(ISNUMBER(C121)),"D",IF(AND(INT(C121)=C121,C121&lt;&gt;"",C121&gt;=0),"C","D")))))</f>
        <v>C</v>
      </c>
      <c r="F121" t="s">
        <v>526</v>
      </c>
      <c r="G121" t="s">
        <v>404</v>
      </c>
    </row>
    <row r="122" spans="1:7" ht="26.25" thickBot="1" x14ac:dyDescent="0.4">
      <c r="A122" s="120"/>
      <c r="B122" s="83"/>
      <c r="C122" s="90"/>
      <c r="F122" t="s">
        <v>404</v>
      </c>
      <c r="G122" t="s">
        <v>404</v>
      </c>
    </row>
    <row r="123" spans="1:7" ht="27" thickTop="1" thickBot="1" x14ac:dyDescent="0.4">
      <c r="A123" s="120"/>
      <c r="B123" s="126" t="str">
        <f>IF($B$114="Proceed below",Text!B123,"")</f>
        <v>Check details to proceed</v>
      </c>
      <c r="C123" s="13" t="s">
        <v>469</v>
      </c>
      <c r="D123" s="23" t="str">
        <f>IF(AND(B114="Proceed below",C119&lt;&gt;"",C121&lt;&gt;"",C123=""),"E","")</f>
        <v/>
      </c>
      <c r="E123" s="23" t="str">
        <f>IF(B123="Check details to proceed","O","")</f>
        <v>O</v>
      </c>
      <c r="F123" t="s">
        <v>526</v>
      </c>
      <c r="G123" t="s">
        <v>520</v>
      </c>
    </row>
    <row r="124" spans="1:7" ht="27" thickTop="1" thickBot="1" x14ac:dyDescent="0.4">
      <c r="A124" s="121"/>
      <c r="B124" s="84"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below</v>
      </c>
      <c r="C124" s="88"/>
      <c r="F124" t="s">
        <v>404</v>
      </c>
      <c r="G124" t="s">
        <v>404</v>
      </c>
    </row>
    <row r="125" spans="1:7" ht="41.1" customHeight="1" thickTop="1" thickBot="1" x14ac:dyDescent="0.4">
      <c r="A125" s="120"/>
      <c r="B125" s="128" t="str">
        <f>Text!B125</f>
        <v>Panel fee</v>
      </c>
      <c r="C125" s="74"/>
      <c r="F125" t="s">
        <v>404</v>
      </c>
      <c r="G125" t="s">
        <v>404</v>
      </c>
    </row>
    <row r="126" spans="1:7" ht="27" thickTop="1" thickBot="1" x14ac:dyDescent="0.4">
      <c r="A126" s="120"/>
      <c r="B126" s="78" t="str">
        <f>Text!B126</f>
        <v>What was your entity's invoiced Panel fee for 2023-24 (GST exclusive)?</v>
      </c>
      <c r="C126" s="16">
        <f>IF($B$124&lt;&gt;"Proceed below","",INDEX(panelfee,MATCH($C$6,agencyname,0)))</f>
        <v>4377</v>
      </c>
      <c r="D126" s="23" t="str">
        <f>IF($B$124&lt;&gt;"Proceed below","",IF($C$131&lt;&gt;"Check","",IF(AND(INT(C126)=C126,C126&lt;&gt;""),"C","D")))</f>
        <v>C</v>
      </c>
      <c r="F126" t="s">
        <v>526</v>
      </c>
      <c r="G126" t="s">
        <v>525</v>
      </c>
    </row>
    <row r="127" spans="1:7" ht="27" thickTop="1" thickBot="1" x14ac:dyDescent="0.4">
      <c r="A127" s="120"/>
      <c r="B127" s="128" t="str">
        <f>Text!B127</f>
        <v>Panel flexibility mechanisms</v>
      </c>
      <c r="C127" s="74"/>
      <c r="F127" t="s">
        <v>404</v>
      </c>
      <c r="G127" t="s">
        <v>404</v>
      </c>
    </row>
    <row r="128" spans="1:7" ht="27" thickTop="1" thickBot="1" x14ac:dyDescent="0.4">
      <c r="A128" s="120"/>
      <c r="B128" s="78" t="str">
        <f>Text!B128</f>
        <v>Professional Fees for work done by non-Panel firms as part of 10% off-Panel allowance</v>
      </c>
      <c r="C128" s="14">
        <v>0</v>
      </c>
      <c r="D128" s="23" t="str">
        <f>IF($B$124&lt;&gt;"Proceed below","",IF(AND($C$131&lt;&gt;"Check",C128=""),"E",IF(AND($C$131&lt;&gt;"Check",C128&lt;&gt;""),"",IF(NOT(ISNUMBER(C128)),"D",IF(AND(INT(C128)=C128,C128&lt;&gt;"",C128&gt;=0),"C","D")))))</f>
        <v>C</v>
      </c>
      <c r="F128" t="s">
        <v>526</v>
      </c>
      <c r="G128" t="s">
        <v>404</v>
      </c>
    </row>
    <row r="129" spans="1:7" ht="27" thickTop="1" thickBot="1" x14ac:dyDescent="0.4">
      <c r="A129" s="120"/>
      <c r="B129" s="78" t="str">
        <f>Text!B129</f>
        <v>Professional Fees for work done by non-Panel firms with an Exemption from AGD</v>
      </c>
      <c r="C129" s="14">
        <v>0</v>
      </c>
      <c r="D129" s="23" t="str">
        <f>IF($B$124&lt;&gt;"Proceed below","",IF(AND($C$131&lt;&gt;"Check",C129=""),"E",IF(AND($C$131&lt;&gt;"Check",C129&lt;&gt;""),"",IF(NOT(ISNUMBER(C129)),"D",IF(AND(INT(C129)=C129,C129&lt;&gt;"",C129&gt;=0),"C","D")))))</f>
        <v>C</v>
      </c>
      <c r="F129" t="s">
        <v>526</v>
      </c>
      <c r="G129" t="s">
        <v>404</v>
      </c>
    </row>
    <row r="130" spans="1:7" ht="27" thickTop="1" thickBot="1" x14ac:dyDescent="0.4">
      <c r="A130" s="120"/>
      <c r="B130" s="83"/>
      <c r="C130" s="90"/>
      <c r="F130" t="s">
        <v>404</v>
      </c>
      <c r="G130" t="s">
        <v>404</v>
      </c>
    </row>
    <row r="131" spans="1:7" ht="27" thickTop="1" thickBot="1" x14ac:dyDescent="0.4">
      <c r="A131" s="120"/>
      <c r="B131" s="126" t="str">
        <f>IF($B$114="Proceed below",Text!B131,"")</f>
        <v>Check details to proceed</v>
      </c>
      <c r="C131" s="13" t="s">
        <v>469</v>
      </c>
      <c r="D131" s="23" t="str">
        <f>IF(AND(B124="Proceed below",C128&lt;&gt;"",C129&lt;&gt;"",C131=""),"E","")</f>
        <v/>
      </c>
      <c r="E131" s="23" t="str">
        <f>IF(B131="Check details to proceed","O","")</f>
        <v>O</v>
      </c>
      <c r="F131" t="s">
        <v>526</v>
      </c>
      <c r="G131" t="s">
        <v>520</v>
      </c>
    </row>
    <row r="132" spans="1:7" ht="27" thickTop="1" thickBot="1" x14ac:dyDescent="0.4">
      <c r="A132" s="121"/>
      <c r="B132" s="84"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88"/>
      <c r="F132" t="s">
        <v>404</v>
      </c>
      <c r="G132" t="s">
        <v>404</v>
      </c>
    </row>
    <row r="133" spans="1:7" ht="42.95" customHeight="1" thickTop="1" thickBot="1" x14ac:dyDescent="0.4">
      <c r="A133" s="119" t="s">
        <v>94</v>
      </c>
      <c r="B133" s="44" t="s">
        <v>95</v>
      </c>
      <c r="C133" s="73"/>
      <c r="F133" t="s">
        <v>404</v>
      </c>
      <c r="G133" t="s">
        <v>404</v>
      </c>
    </row>
    <row r="134" spans="1:7" ht="166.5" customHeight="1" thickTop="1" x14ac:dyDescent="0.35">
      <c r="A134" s="107" t="str">
        <f>Text!A134</f>
        <v>What is this section?</v>
      </c>
      <c r="B134" s="34"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(e.g. List G Barristers are counsel and should be reported under Section 2). 
This section is divided into 3 subsections for different types of external providers: 5a) Other government providers; 5b) Overseas providers; 5c) Domestic providers.
</v>
      </c>
      <c r="C134" s="74"/>
      <c r="F134" t="s">
        <v>404</v>
      </c>
      <c r="G134" t="s">
        <v>404</v>
      </c>
    </row>
    <row r="135" spans="1:7" ht="94.5" customHeight="1" x14ac:dyDescent="0.35">
      <c r="A135" s="107" t="str">
        <f>Text!A135</f>
        <v>What are other government providers?</v>
      </c>
      <c r="B135" s="34"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74"/>
      <c r="F135" t="s">
        <v>404</v>
      </c>
      <c r="G135" t="s">
        <v>404</v>
      </c>
    </row>
    <row r="136" spans="1:7" ht="72.75" customHeight="1" x14ac:dyDescent="0.35">
      <c r="A136" s="107" t="str">
        <f>Text!A136</f>
        <v>What are overseas providers?</v>
      </c>
      <c r="B136" s="34"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74"/>
      <c r="F136" t="s">
        <v>404</v>
      </c>
      <c r="G136" t="s">
        <v>404</v>
      </c>
    </row>
    <row r="137" spans="1:7" ht="69.75" customHeight="1" x14ac:dyDescent="0.35">
      <c r="A137" s="107" t="str">
        <f>Text!A137</f>
        <v>What are domestic providers?</v>
      </c>
      <c r="B137" s="34" t="str">
        <f>Text!B137</f>
        <v xml:space="preserve">
Domestic external legal services providers include solicitors and similar service providers, including government legal services providers such as the Australian Government Solicitor (AGS), that conduct their business in Australia. It does not include counsel.
</v>
      </c>
      <c r="C137" s="74"/>
      <c r="F137" t="s">
        <v>404</v>
      </c>
      <c r="G137" t="s">
        <v>404</v>
      </c>
    </row>
    <row r="138" spans="1:7" ht="74.25" customHeight="1" x14ac:dyDescent="0.35">
      <c r="A138" s="107" t="str">
        <f>Text!A138</f>
        <v>How is expenditure on professional fees reported?</v>
      </c>
      <c r="B138" s="34" t="str">
        <f>Text!B138</f>
        <v xml:space="preserve">
The figures must be whole dollar amounts, GST exclusive. Figures including cents will not be accepted. If there was no expenditure, enter '0' for a value of $0.
</v>
      </c>
      <c r="C138" s="74"/>
      <c r="F138" t="s">
        <v>404</v>
      </c>
      <c r="G138" t="s">
        <v>404</v>
      </c>
    </row>
    <row r="139" spans="1:7" ht="318.75" customHeight="1" x14ac:dyDescent="0.35">
      <c r="A139" s="107" t="str">
        <f>Text!A139</f>
        <v>Additional guidance for domestic providers</v>
      </c>
      <c r="B139" s="34" t="str">
        <f>Text!B139</f>
        <v xml:space="preserve">
The first domestic provider listed in section 5c is AGS. You must report your entity's professional fees with AGS here. If your entity did not engage with AGS during 2023-24, then you must enter '0' for a value of $0. 
Each domestic provider’s professional fees must be entered separately. Each domestic provider used in the previous year and all Whole of Australian Government Legal Services Panel providers have been included in the drop-down list. If a provider is not listed choose “PROVIDER NOT LISTED” to enter the provider name manually. You must only enter the details of domestic providers your entity had professional fees within 2023-24.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within 2023-24,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74"/>
      <c r="F139" t="s">
        <v>404</v>
      </c>
      <c r="G139" t="s">
        <v>404</v>
      </c>
    </row>
    <row r="140" spans="1:7" ht="23.1" customHeight="1" thickBot="1" x14ac:dyDescent="0.4">
      <c r="A140" s="107"/>
      <c r="B140" s="75"/>
      <c r="C140" s="74"/>
      <c r="F140" t="s">
        <v>404</v>
      </c>
      <c r="G140" t="s">
        <v>404</v>
      </c>
    </row>
    <row r="141" spans="1:7" ht="27" thickTop="1" thickBot="1" x14ac:dyDescent="0.4">
      <c r="A141" s="120"/>
      <c r="B141" s="126" t="str">
        <f>IF($B$132&lt;&gt;"Proceed below","",Text!B141)</f>
        <v>Please confirm that you have read and understood the Professional Fees explainer</v>
      </c>
      <c r="C141" s="13" t="s">
        <v>78</v>
      </c>
      <c r="D141" s="23" t="str">
        <f>IF(AND(B132="Proceed below",C141=""),"E","")</f>
        <v/>
      </c>
      <c r="E141" s="23" t="str">
        <f>IF(B141=Text!B141,"E","")</f>
        <v>E</v>
      </c>
      <c r="F141" t="s">
        <v>526</v>
      </c>
      <c r="G141" t="s">
        <v>519</v>
      </c>
    </row>
    <row r="142" spans="1:7" ht="27" thickTop="1" thickBot="1" x14ac:dyDescent="0.4">
      <c r="A142" s="121"/>
      <c r="B142" s="84" t="str">
        <f>IF($B$132&lt;&gt;"Proceed below","",IF($C$141="Yes","Proceed below",IF($C$141="No","Please contact OLSC for assistance","Read the explainer then select 'Yes' or 'No' from the drop down list")))</f>
        <v>Proceed below</v>
      </c>
      <c r="C142" s="88"/>
      <c r="F142" t="s">
        <v>404</v>
      </c>
      <c r="G142" t="s">
        <v>404</v>
      </c>
    </row>
    <row r="143" spans="1:7" ht="36.950000000000003" customHeight="1" thickTop="1" thickBot="1" x14ac:dyDescent="0.4">
      <c r="A143" s="119" t="s">
        <v>96</v>
      </c>
      <c r="B143" s="44" t="s">
        <v>97</v>
      </c>
      <c r="C143" s="73"/>
      <c r="F143" t="s">
        <v>404</v>
      </c>
      <c r="G143" t="s">
        <v>404</v>
      </c>
    </row>
    <row r="144" spans="1:7" ht="27" thickTop="1" thickBot="1" x14ac:dyDescent="0.4">
      <c r="A144" s="120"/>
      <c r="B144" s="128" t="str">
        <f>Text!B144</f>
        <v>Attorney-General's Department (DO NOT INCLUDE PANEL FEE)</v>
      </c>
      <c r="C144" s="74"/>
      <c r="F144" t="s">
        <v>404</v>
      </c>
      <c r="G144" t="s">
        <v>404</v>
      </c>
    </row>
    <row r="145" spans="1:7" ht="27" thickTop="1" thickBot="1" x14ac:dyDescent="0.4">
      <c r="A145" s="120"/>
      <c r="B145" s="78" t="str">
        <f>Text!B145</f>
        <v>Total value of expenditure</v>
      </c>
      <c r="C145" s="14">
        <v>0</v>
      </c>
      <c r="D145" s="23" t="str">
        <f>IF($B$142&lt;&gt;"Proceed below","",IF(AND($C$151&lt;&gt;"Check",C145=""),"E",IF(AND($C$151&lt;&gt;"Check",C145&lt;&gt;""),"",IF(NOT(ISNUMBER(C145)),"D",IF(AND(INT(C145)=C145,C145&lt;&gt;"",C145&gt;=0),"C","D")))))</f>
        <v>C</v>
      </c>
      <c r="F145" t="s">
        <v>526</v>
      </c>
      <c r="G145" t="s">
        <v>404</v>
      </c>
    </row>
    <row r="146" spans="1:7" ht="27" thickTop="1" thickBot="1" x14ac:dyDescent="0.4">
      <c r="A146" s="120"/>
      <c r="B146" s="128" t="str">
        <f>Text!B146</f>
        <v>Department of Foreign Affairs and Trade</v>
      </c>
      <c r="C146" s="74"/>
      <c r="F146" t="s">
        <v>404</v>
      </c>
      <c r="G146" t="s">
        <v>404</v>
      </c>
    </row>
    <row r="147" spans="1:7" ht="27" thickTop="1" thickBot="1" x14ac:dyDescent="0.4">
      <c r="A147" s="120"/>
      <c r="B147" s="78" t="str">
        <f>Text!B147</f>
        <v>Total value of expenditure</v>
      </c>
      <c r="C147" s="14">
        <v>0</v>
      </c>
      <c r="D147" s="23" t="str">
        <f t="shared" ref="D147:D149" si="0">IF($B$142&lt;&gt;"Proceed below","",IF(AND($C$151&lt;&gt;"Check",C147=""),"E",IF(AND($C$151&lt;&gt;"Check",C147&lt;&gt;""),"",IF(NOT(ISNUMBER(C147)),"D",IF(AND(INT(C147)=C147,C147&lt;&gt;"",C147&gt;=0),"C","D")))))</f>
        <v>C</v>
      </c>
      <c r="F147" t="s">
        <v>526</v>
      </c>
      <c r="G147" t="s">
        <v>404</v>
      </c>
    </row>
    <row r="148" spans="1:7" ht="27" thickTop="1" thickBot="1" x14ac:dyDescent="0.4">
      <c r="A148" s="120"/>
      <c r="B148" s="129" t="str">
        <f>Text!B148</f>
        <v>Office of Parliamentary Counsel</v>
      </c>
      <c r="C148" s="74"/>
      <c r="F148" t="s">
        <v>404</v>
      </c>
      <c r="G148" t="s">
        <v>404</v>
      </c>
    </row>
    <row r="149" spans="1:7" ht="27" thickTop="1" thickBot="1" x14ac:dyDescent="0.4">
      <c r="A149" s="120"/>
      <c r="B149" s="78" t="str">
        <f>Text!B149</f>
        <v>Total value of expenditure</v>
      </c>
      <c r="C149" s="14">
        <v>0</v>
      </c>
      <c r="D149" s="23" t="str">
        <f t="shared" si="0"/>
        <v>C</v>
      </c>
      <c r="F149" t="s">
        <v>526</v>
      </c>
      <c r="G149" t="s">
        <v>404</v>
      </c>
    </row>
    <row r="150" spans="1:7" ht="27" thickTop="1" thickBot="1" x14ac:dyDescent="0.4">
      <c r="A150" s="120"/>
      <c r="B150" s="51"/>
      <c r="C150" s="90"/>
      <c r="F150" t="s">
        <v>404</v>
      </c>
      <c r="G150" t="s">
        <v>404</v>
      </c>
    </row>
    <row r="151" spans="1:7" ht="27" thickTop="1" thickBot="1" x14ac:dyDescent="0.4">
      <c r="A151" s="122"/>
      <c r="B151" s="126" t="str">
        <f>IF($B$142="Proceed below",Text!B151,"")</f>
        <v>Check details to proceed</v>
      </c>
      <c r="C151" s="13" t="s">
        <v>469</v>
      </c>
      <c r="D151" s="23" t="str">
        <f>IF(AND(B142="Proceed below",C147&lt;&gt;"",C149&lt;&gt;"",C151=""),"E","")</f>
        <v/>
      </c>
      <c r="E151" s="23" t="str">
        <f>IF(B151="Check details to proceed","O","")</f>
        <v>O</v>
      </c>
      <c r="F151" t="s">
        <v>526</v>
      </c>
      <c r="G151" t="s">
        <v>520</v>
      </c>
    </row>
    <row r="152" spans="1:7" ht="27" thickTop="1" thickBot="1" x14ac:dyDescent="0.4">
      <c r="A152" s="121"/>
      <c r="B152" s="84"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88"/>
      <c r="F152" t="s">
        <v>404</v>
      </c>
      <c r="G152" t="s">
        <v>404</v>
      </c>
    </row>
    <row r="153" spans="1:7" ht="41.1" customHeight="1" thickTop="1" thickBot="1" x14ac:dyDescent="0.4">
      <c r="A153" s="119" t="s">
        <v>99</v>
      </c>
      <c r="B153" s="44" t="s">
        <v>98</v>
      </c>
      <c r="C153" s="73"/>
      <c r="F153" t="s">
        <v>404</v>
      </c>
      <c r="G153" t="s">
        <v>404</v>
      </c>
    </row>
    <row r="154" spans="1:7" ht="27" thickTop="1" thickBot="1" x14ac:dyDescent="0.4">
      <c r="A154" s="120"/>
      <c r="B154" s="128" t="str">
        <f>Text!B154</f>
        <v>Overseas firms (single total figure, individual firm names not required)</v>
      </c>
      <c r="C154" s="74"/>
      <c r="F154" t="s">
        <v>404</v>
      </c>
      <c r="G154" t="s">
        <v>404</v>
      </c>
    </row>
    <row r="155" spans="1:7" ht="27" thickTop="1" thickBot="1" x14ac:dyDescent="0.4">
      <c r="A155" s="120"/>
      <c r="B155" s="78" t="str">
        <f>Text!B155</f>
        <v>Total value of expenditure</v>
      </c>
      <c r="C155" s="14">
        <v>0</v>
      </c>
      <c r="D155" s="23" t="str">
        <f>IF($B$152&lt;&gt;"Proceed below","",IF(AND($C$157&lt;&gt;"Check",C155=""),"E",IF(AND($C$157&lt;&gt;"Check",C155&lt;&gt;""),"",IF(NOT(ISNUMBER(C155)),"D",IF(AND(INT(C155)=C155,C155&lt;&gt;"",C155&gt;=0),"C","D")))))</f>
        <v>C</v>
      </c>
      <c r="F155" t="s">
        <v>526</v>
      </c>
      <c r="G155" t="s">
        <v>404</v>
      </c>
    </row>
    <row r="156" spans="1:7" ht="27" thickTop="1" thickBot="1" x14ac:dyDescent="0.4">
      <c r="A156" s="120"/>
      <c r="B156" s="51"/>
      <c r="C156" s="92"/>
      <c r="F156" t="s">
        <v>404</v>
      </c>
      <c r="G156" t="s">
        <v>404</v>
      </c>
    </row>
    <row r="157" spans="1:7" ht="27" thickTop="1" thickBot="1" x14ac:dyDescent="0.4">
      <c r="A157" s="122"/>
      <c r="B157" s="126" t="str">
        <f>IF($B$152="Proceed below",Text!B157,"")</f>
        <v>Check details to proceed</v>
      </c>
      <c r="C157" s="13" t="s">
        <v>469</v>
      </c>
      <c r="D157" s="23" t="str">
        <f>IF(AND(B152="Proceed below",C155&lt;&gt;"",C157=""),"E","")</f>
        <v/>
      </c>
      <c r="E157" s="23" t="str">
        <f>IF(B157="Check details to proceed","O","")</f>
        <v>O</v>
      </c>
      <c r="F157" t="s">
        <v>526</v>
      </c>
      <c r="G157" t="s">
        <v>520</v>
      </c>
    </row>
    <row r="158" spans="1:7" ht="27" thickTop="1" thickBot="1" x14ac:dyDescent="0.4">
      <c r="A158" s="121"/>
      <c r="B158" s="84"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88"/>
      <c r="F158" t="s">
        <v>404</v>
      </c>
      <c r="G158" t="s">
        <v>404</v>
      </c>
    </row>
    <row r="159" spans="1:7" ht="38.1" customHeight="1" thickTop="1" thickBot="1" x14ac:dyDescent="0.4">
      <c r="A159" s="119" t="s">
        <v>101</v>
      </c>
      <c r="B159" s="44" t="s">
        <v>100</v>
      </c>
      <c r="C159" s="73"/>
      <c r="F159" t="s">
        <v>404</v>
      </c>
      <c r="G159" t="s">
        <v>404</v>
      </c>
    </row>
    <row r="160" spans="1:7" ht="27" thickTop="1" thickBot="1" x14ac:dyDescent="0.4">
      <c r="A160" s="120"/>
      <c r="B160" s="128" t="str">
        <f>Text!B160</f>
        <v>Australian Government Solicitor</v>
      </c>
      <c r="C160" s="74"/>
      <c r="F160" t="s">
        <v>404</v>
      </c>
      <c r="G160" t="s">
        <v>404</v>
      </c>
    </row>
    <row r="161" spans="1:7" ht="27" thickTop="1" thickBot="1" x14ac:dyDescent="0.4">
      <c r="A161" s="120"/>
      <c r="B161" s="78" t="str">
        <f>Text!B161</f>
        <v>Total value of expenditure</v>
      </c>
      <c r="C161" s="14">
        <v>100555</v>
      </c>
      <c r="D161" s="23" t="str">
        <f>IF($B$158&lt;&gt;"Proceed below","",IF(AND(C163="",C161=""),"E",IF(AND(C163="",C161&lt;&gt;""),"",IF(NOT(ISNUMBER(C161)),"D",IF(AND(INT(C161)=C161,C161&lt;&gt;"",C161&gt;=0),"C","D")))))</f>
        <v>C</v>
      </c>
      <c r="F161" t="s">
        <v>526</v>
      </c>
      <c r="G161" t="s">
        <v>404</v>
      </c>
    </row>
    <row r="162" spans="1:7" ht="27" thickTop="1" thickBot="1" x14ac:dyDescent="0.4">
      <c r="A162" s="123"/>
      <c r="B162" s="51"/>
      <c r="C162" s="74"/>
      <c r="F162" t="s">
        <v>404</v>
      </c>
      <c r="G162" t="s">
        <v>404</v>
      </c>
    </row>
    <row r="163" spans="1:7" ht="27" thickTop="1" thickBot="1" x14ac:dyDescent="0.4">
      <c r="A163" s="120"/>
      <c r="B163" s="126" t="str">
        <f>Text!B163</f>
        <v>Is another domestic provider required?</v>
      </c>
      <c r="C163" s="13" t="s">
        <v>78</v>
      </c>
      <c r="D163" s="23" t="str">
        <f>IF(B164="Please select 'Yes' or 'No' from the drop down list","E","")</f>
        <v/>
      </c>
      <c r="E163" s="23" t="str">
        <f>IF($B158&lt;&gt;"Proceed below","",IF(B163="Is another domestic provider required?","E",IF(B163="Please confirm that the details entered into the Entry Form are correct","B","")))</f>
        <v>E</v>
      </c>
      <c r="F163" t="s">
        <v>526</v>
      </c>
      <c r="G163" t="s">
        <v>521</v>
      </c>
    </row>
    <row r="164" spans="1:7" ht="27" thickTop="1" thickBot="1" x14ac:dyDescent="0.4">
      <c r="A164" s="124" t="str">
        <f>IF(AND(B164="Choose provider from the list",C163="Yes"),"Domestic Provider "&amp;(ROW()-ROW(A$154))/5,"")</f>
        <v>Domestic Provider 2</v>
      </c>
      <c r="B164" s="78"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Choose provider from the list</v>
      </c>
      <c r="C164" s="130" t="s">
        <v>2</v>
      </c>
      <c r="D164" s="2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C</v>
      </c>
      <c r="E164" s="23" t="str">
        <f>IF(B164="Choose provider from the list","H","")</f>
        <v>H</v>
      </c>
      <c r="F164" t="s">
        <v>526</v>
      </c>
      <c r="G164" t="s">
        <v>524</v>
      </c>
    </row>
    <row r="165" spans="1:7" ht="27" thickTop="1" thickBot="1" x14ac:dyDescent="0.4">
      <c r="A165" s="120"/>
      <c r="B165" s="78" t="str">
        <f>IF(B164&lt;&gt;"Choose provider from the list","",IF(C164&lt;&gt;"PROVIDER NOT LISTED","","Type provider name manually"))</f>
        <v/>
      </c>
      <c r="C165" s="130"/>
      <c r="D165" s="2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t="s">
        <v>526</v>
      </c>
      <c r="G165" t="s">
        <v>404</v>
      </c>
    </row>
    <row r="166" spans="1:7" ht="27" thickTop="1" thickBot="1" x14ac:dyDescent="0.4">
      <c r="A166" s="120"/>
      <c r="B166" s="78" t="str">
        <f>IF(B164&lt;&gt;"Choose provider from the list","","Total value of expenditure")</f>
        <v>Total value of expenditure</v>
      </c>
      <c r="C166" s="14">
        <v>207552</v>
      </c>
      <c r="D166" s="2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C</v>
      </c>
      <c r="F166" t="s">
        <v>526</v>
      </c>
      <c r="G166" t="s">
        <v>404</v>
      </c>
    </row>
    <row r="167" spans="1:7" ht="27" thickTop="1" thickBot="1" x14ac:dyDescent="0.4">
      <c r="A167" s="120"/>
      <c r="B167" s="51"/>
      <c r="C167" s="74"/>
      <c r="F167" t="s">
        <v>404</v>
      </c>
      <c r="G167" t="s">
        <v>404</v>
      </c>
    </row>
    <row r="168" spans="1:7" ht="27" thickTop="1" thickBot="1" x14ac:dyDescent="0.4">
      <c r="A168" s="120"/>
      <c r="B168" s="12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Is another domestic provider required?</v>
      </c>
      <c r="C168" s="13" t="s">
        <v>78</v>
      </c>
      <c r="D168" s="23" t="str">
        <f>IF(OR(B169="Please select 'Yes' or 'No' from the drop down list",B169="Please select 'I confirm' or 'I do not confirm' from the drop down list"),"E","")</f>
        <v/>
      </c>
      <c r="E168" s="23" t="str">
        <f>IF(B168="Is another domestic provider required?","E",IF(B168="Please confirm that the details entered into the Entry Form are correct","B",""))</f>
        <v>E</v>
      </c>
      <c r="F168" t="s">
        <v>526</v>
      </c>
      <c r="G168" t="s">
        <v>521</v>
      </c>
    </row>
    <row r="169" spans="1:7" ht="27" thickTop="1" thickBot="1" x14ac:dyDescent="0.4">
      <c r="A169" s="124" t="str">
        <f>IF(AND(B169="Choose provider from the list",C168="Yes"),"Domestic Provider "&amp;(ROW()-ROW(A$154))/5,"")</f>
        <v>Domestic Provider 3</v>
      </c>
      <c r="B169" s="78"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Choose provider from the list</v>
      </c>
      <c r="C169" s="130" t="s">
        <v>42</v>
      </c>
      <c r="D169" s="2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C</v>
      </c>
      <c r="E169" s="23" t="str">
        <f>IF(B169="Choose provider from the list","H","")</f>
        <v>H</v>
      </c>
      <c r="F169" t="s">
        <v>526</v>
      </c>
      <c r="G169" t="s">
        <v>524</v>
      </c>
    </row>
    <row r="170" spans="1:7" ht="27" thickTop="1" thickBot="1" x14ac:dyDescent="0.4">
      <c r="A170" s="120"/>
      <c r="B170" s="78" t="str">
        <f>IF(B169&lt;&gt;"Choose provider from the list","",IF(C169&lt;&gt;"PROVIDER NOT LISTED","","Type provider name manually"))</f>
        <v/>
      </c>
      <c r="C170" s="130"/>
      <c r="D170" s="2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t="s">
        <v>526</v>
      </c>
      <c r="G170" t="s">
        <v>404</v>
      </c>
    </row>
    <row r="171" spans="1:7" ht="27" thickTop="1" thickBot="1" x14ac:dyDescent="0.4">
      <c r="A171" s="120"/>
      <c r="B171" s="78"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Total value of expenditure</v>
      </c>
      <c r="C171" s="14">
        <v>253320</v>
      </c>
      <c r="D171" s="2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C</v>
      </c>
      <c r="F171" t="s">
        <v>526</v>
      </c>
      <c r="G171" t="s">
        <v>404</v>
      </c>
    </row>
    <row r="172" spans="1:7" ht="27" thickTop="1" thickBot="1" x14ac:dyDescent="0.4">
      <c r="A172" s="120"/>
      <c r="B172" s="51"/>
      <c r="C172" s="74"/>
      <c r="F172" t="s">
        <v>404</v>
      </c>
      <c r="G172" t="s">
        <v>404</v>
      </c>
    </row>
    <row r="173" spans="1:7" ht="27" thickTop="1" thickBot="1" x14ac:dyDescent="0.4">
      <c r="A173" s="120"/>
      <c r="B173" s="12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Is another domestic provider required?</v>
      </c>
      <c r="C173" s="13" t="s">
        <v>78</v>
      </c>
      <c r="D173" s="23" t="str">
        <f>IF(OR(B174="Please select 'Yes' or 'No' from the drop down list",B174="Please select 'I confirm' or 'I do not confirm' from the drop down list"),"E","")</f>
        <v/>
      </c>
      <c r="E173" s="23" t="str">
        <f>IF(B173="Is another domestic provider required?","E",IF(B173="Please confirm that the details entered into the Entry Form are correct","B",""))</f>
        <v>E</v>
      </c>
      <c r="F173" t="s">
        <v>526</v>
      </c>
      <c r="G173" t="s">
        <v>521</v>
      </c>
    </row>
    <row r="174" spans="1:7" ht="27" thickTop="1" thickBot="1" x14ac:dyDescent="0.4">
      <c r="A174" s="124" t="str">
        <f>IF(AND(B174="Choose provider from the list",C173="Yes"),"Domestic Provider "&amp;(ROW()-ROW(A$154))/5,"")</f>
        <v>Domestic Provider 4</v>
      </c>
      <c r="B174" s="78"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Choose provider from the list</v>
      </c>
      <c r="C174" s="130" t="s">
        <v>9</v>
      </c>
      <c r="D174" s="2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C</v>
      </c>
      <c r="E174" s="23" t="str">
        <f>IF(B174="Choose provider from the list","H","")</f>
        <v>H</v>
      </c>
      <c r="F174" t="s">
        <v>526</v>
      </c>
      <c r="G174" t="s">
        <v>524</v>
      </c>
    </row>
    <row r="175" spans="1:7" ht="27" thickTop="1" thickBot="1" x14ac:dyDescent="0.4">
      <c r="A175" s="120"/>
      <c r="B175" s="78" t="str">
        <f>IF(B174&lt;&gt;"Choose provider from the list","",IF(C174&lt;&gt;"PROVIDER NOT LISTED","","Type provider name manually"))</f>
        <v/>
      </c>
      <c r="C175" s="130"/>
      <c r="D175" s="2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t="s">
        <v>526</v>
      </c>
      <c r="G175" t="s">
        <v>404</v>
      </c>
    </row>
    <row r="176" spans="1:7" ht="27" thickTop="1" thickBot="1" x14ac:dyDescent="0.4">
      <c r="A176" s="120"/>
      <c r="B176" s="78"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Total value of expenditure</v>
      </c>
      <c r="C176" s="14">
        <v>617888</v>
      </c>
      <c r="D176" s="2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C</v>
      </c>
      <c r="F176" t="s">
        <v>526</v>
      </c>
      <c r="G176" t="s">
        <v>404</v>
      </c>
    </row>
    <row r="177" spans="1:7" ht="27" thickTop="1" thickBot="1" x14ac:dyDescent="0.4">
      <c r="A177" s="120"/>
      <c r="B177" s="51"/>
      <c r="C177" s="74"/>
      <c r="F177" t="s">
        <v>404</v>
      </c>
      <c r="G177" t="s">
        <v>404</v>
      </c>
    </row>
    <row r="178" spans="1:7" ht="27" thickTop="1" thickBot="1" x14ac:dyDescent="0.4">
      <c r="A178" s="120"/>
      <c r="B178" s="12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Is another domestic provider required?</v>
      </c>
      <c r="C178" s="13" t="s">
        <v>79</v>
      </c>
      <c r="D178" s="23" t="str">
        <f>IF(OR(B179="Please select 'Yes' or 'No' from the drop down list",B179="Please select 'I confirm' or 'I do not confirm' from the drop down list"),"E","")</f>
        <v/>
      </c>
      <c r="E178" s="23" t="str">
        <f>IF(B178="Is another domestic provider required?","E",IF(B178="Please confirm that the details entered into the Entry Form are correct","B",""))</f>
        <v>E</v>
      </c>
      <c r="F178" t="s">
        <v>526</v>
      </c>
      <c r="G178" t="s">
        <v>521</v>
      </c>
    </row>
    <row r="179" spans="1:7" ht="27" thickTop="1" thickBot="1" x14ac:dyDescent="0.4">
      <c r="A179" s="124" t="str">
        <f>IF(AND(B179="Choose provider from the list",C178="Yes"),"Domestic Provider "&amp;(ROW()-ROW(A$154))/5,"")</f>
        <v/>
      </c>
      <c r="B179" s="78"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Proceed below to confirm details and complete Entry Form</v>
      </c>
      <c r="C179" s="130"/>
      <c r="D179" s="2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
      </c>
      <c r="E179" s="23" t="str">
        <f>IF(B179="Choose provider from the list","H","")</f>
        <v/>
      </c>
      <c r="F179" t="s">
        <v>526</v>
      </c>
      <c r="G179" t="s">
        <v>524</v>
      </c>
    </row>
    <row r="180" spans="1:7" ht="27" thickTop="1" thickBot="1" x14ac:dyDescent="0.4">
      <c r="A180" s="120"/>
      <c r="B180" s="78" t="str">
        <f>IF(B179&lt;&gt;"Choose provider from the list","",IF(C179&lt;&gt;"PROVIDER NOT LISTED","","Type provider name manually"))</f>
        <v/>
      </c>
      <c r="C180" s="130"/>
      <c r="D180" s="2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t="s">
        <v>526</v>
      </c>
      <c r="G180" t="s">
        <v>404</v>
      </c>
    </row>
    <row r="181" spans="1:7" ht="27" thickTop="1" thickBot="1" x14ac:dyDescent="0.4">
      <c r="A181" s="120"/>
      <c r="B181" s="78"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
      </c>
      <c r="C181" s="14"/>
      <c r="D181" s="2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
      </c>
      <c r="F181" t="s">
        <v>526</v>
      </c>
      <c r="G181" t="s">
        <v>404</v>
      </c>
    </row>
    <row r="182" spans="1:7" ht="27" thickTop="1" thickBot="1" x14ac:dyDescent="0.4">
      <c r="A182" s="120"/>
      <c r="B182" s="51"/>
      <c r="C182" s="74"/>
      <c r="F182" t="s">
        <v>404</v>
      </c>
      <c r="G182" t="s">
        <v>404</v>
      </c>
    </row>
    <row r="183" spans="1:7" ht="27" thickTop="1" thickBot="1" x14ac:dyDescent="0.4">
      <c r="A183" s="120"/>
      <c r="B183" s="12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Please confirm that the details entered into the Entry Form are correct</v>
      </c>
      <c r="C183" s="13" t="s">
        <v>522</v>
      </c>
      <c r="D183" s="23" t="str">
        <f>IF(OR(B184="Please select 'Yes' or 'No' from the drop down list",B184="Please select 'I confirm' or 'I do not confirm' from the drop down list"),"E","")</f>
        <v/>
      </c>
      <c r="E183" s="23" t="str">
        <f>IF(B183="Is another domestic provider required?","E",IF(B183="Please confirm that the details entered into the Entry Form are correct","B",""))</f>
        <v>B</v>
      </c>
      <c r="F183" t="s">
        <v>526</v>
      </c>
      <c r="G183" t="s">
        <v>521</v>
      </c>
    </row>
    <row r="184" spans="1:7" ht="27" thickTop="1" thickBot="1" x14ac:dyDescent="0.4">
      <c r="A184" s="124" t="str">
        <f>IF(AND(B184="Choose provider from the list",C183="Yes"),"Domestic Provider "&amp;(ROW()-ROW(A$154))/5,"")</f>
        <v/>
      </c>
      <c r="B184" s="78"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
      </c>
      <c r="C184" s="130"/>
      <c r="D184" s="2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
      </c>
      <c r="E184" s="23" t="str">
        <f>IF(B184="Choose provider from the list","H","")</f>
        <v/>
      </c>
      <c r="F184" t="s">
        <v>526</v>
      </c>
      <c r="G184" t="s">
        <v>524</v>
      </c>
    </row>
    <row r="185" spans="1:7" ht="27" thickTop="1" thickBot="1" x14ac:dyDescent="0.4">
      <c r="A185" s="120"/>
      <c r="B185" s="78" t="str">
        <f>IF(B184&lt;&gt;"Choose provider from the list","",IF(C184&lt;&gt;"PROVIDER NOT LISTED","","Type provider name manually"))</f>
        <v/>
      </c>
      <c r="C185" s="130"/>
      <c r="D185" s="2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t="s">
        <v>526</v>
      </c>
      <c r="G185" t="s">
        <v>404</v>
      </c>
    </row>
    <row r="186" spans="1:7" ht="27" thickTop="1" thickBot="1" x14ac:dyDescent="0.4">
      <c r="A186" s="120"/>
      <c r="B186" s="78"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Entry Form complete - proceed to Summary sheet</v>
      </c>
      <c r="C186" s="14"/>
      <c r="D186" s="2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
      </c>
      <c r="F186" t="s">
        <v>526</v>
      </c>
      <c r="G186" t="s">
        <v>404</v>
      </c>
    </row>
    <row r="187" spans="1:7" ht="27" thickTop="1" thickBot="1" x14ac:dyDescent="0.4">
      <c r="A187" s="120"/>
      <c r="B187" s="51"/>
      <c r="C187" s="74"/>
      <c r="F187" t="s">
        <v>404</v>
      </c>
      <c r="G187" t="s">
        <v>404</v>
      </c>
    </row>
    <row r="188" spans="1:7" ht="27" thickTop="1" thickBot="1" x14ac:dyDescent="0.4">
      <c r="A188" s="120"/>
      <c r="B188" s="12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
      </c>
      <c r="C188" s="13"/>
      <c r="D188" s="23" t="str">
        <f>IF(OR(B189="Please select 'Yes' or 'No' from the drop down list",B189="Please select 'I confirm' or 'I do not confirm' from the drop down list"),"E","")</f>
        <v/>
      </c>
      <c r="E188" s="23" t="str">
        <f>IF(B188="Is another domestic provider required?","E",IF(B188="Please confirm that the details entered into the Entry Form are correct","B",""))</f>
        <v/>
      </c>
      <c r="F188" t="s">
        <v>526</v>
      </c>
      <c r="G188" t="s">
        <v>521</v>
      </c>
    </row>
    <row r="189" spans="1:7" ht="27" thickTop="1" thickBot="1" x14ac:dyDescent="0.4">
      <c r="A189" s="124" t="str">
        <f>IF(AND(B189="Choose provider from the list",C188="Yes"),"Domestic Provider "&amp;(ROW()-ROW(A$154))/5,"")</f>
        <v/>
      </c>
      <c r="B189" s="78"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
      </c>
      <c r="C189" s="130"/>
      <c r="D189" s="2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23" t="str">
        <f>IF(B189="Choose provider from the list","H","")</f>
        <v/>
      </c>
      <c r="F189" t="s">
        <v>526</v>
      </c>
      <c r="G189" t="s">
        <v>524</v>
      </c>
    </row>
    <row r="190" spans="1:7" ht="27" thickTop="1" thickBot="1" x14ac:dyDescent="0.4">
      <c r="A190" s="120"/>
      <c r="B190" s="78" t="str">
        <f>IF(B189&lt;&gt;"Choose provider from the list","",IF(C189&lt;&gt;"PROVIDER NOT LISTED","","Type provider name manually"))</f>
        <v/>
      </c>
      <c r="C190" s="130"/>
      <c r="D190" s="2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t="s">
        <v>526</v>
      </c>
      <c r="G190" t="s">
        <v>404</v>
      </c>
    </row>
    <row r="191" spans="1:7" ht="27" thickTop="1" thickBot="1" x14ac:dyDescent="0.4">
      <c r="A191" s="120"/>
      <c r="B191" s="78"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4"/>
      <c r="D191" s="2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t="s">
        <v>526</v>
      </c>
      <c r="G191" t="s">
        <v>404</v>
      </c>
    </row>
    <row r="192" spans="1:7" ht="27" thickTop="1" thickBot="1" x14ac:dyDescent="0.4">
      <c r="A192" s="120"/>
      <c r="B192" s="51"/>
      <c r="C192" s="74"/>
      <c r="F192" t="s">
        <v>404</v>
      </c>
      <c r="G192" t="s">
        <v>404</v>
      </c>
    </row>
    <row r="193" spans="1:7" ht="27" thickTop="1" thickBot="1" x14ac:dyDescent="0.4">
      <c r="A193" s="120"/>
      <c r="B193" s="12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
      </c>
      <c r="C193" s="13"/>
      <c r="D193" s="23" t="str">
        <f>IF(OR(B194="Please select 'Yes' or 'No' from the drop down list",B194="Please select 'I confirm' or 'I do not confirm' from the drop down list"),"E","")</f>
        <v/>
      </c>
      <c r="E193" s="23" t="str">
        <f>IF(B193="Is another domestic provider required?","E",IF(B193="Please confirm that the details entered into the Entry Form are correct","B",""))</f>
        <v/>
      </c>
      <c r="F193" t="s">
        <v>526</v>
      </c>
      <c r="G193" t="s">
        <v>521</v>
      </c>
    </row>
    <row r="194" spans="1:7" ht="27" thickTop="1" thickBot="1" x14ac:dyDescent="0.4">
      <c r="A194" s="124" t="str">
        <f>IF(AND(B194="Choose provider from the list",C193="Yes"),"Domestic Provider "&amp;(ROW()-ROW(A$154))/5,"")</f>
        <v/>
      </c>
      <c r="B194" s="78"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130"/>
      <c r="D194" s="2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23" t="str">
        <f>IF(B194="Choose provider from the list","H","")</f>
        <v/>
      </c>
      <c r="F194" t="s">
        <v>526</v>
      </c>
      <c r="G194" t="s">
        <v>524</v>
      </c>
    </row>
    <row r="195" spans="1:7" ht="27" thickTop="1" thickBot="1" x14ac:dyDescent="0.4">
      <c r="A195" s="120"/>
      <c r="B195" s="78" t="str">
        <f>IF(B194&lt;&gt;"Choose provider from the list","",IF(C194&lt;&gt;"PROVIDER NOT LISTED","","Type provider name manually"))</f>
        <v/>
      </c>
      <c r="C195" s="130"/>
      <c r="D195" s="2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t="s">
        <v>526</v>
      </c>
      <c r="G195" t="s">
        <v>404</v>
      </c>
    </row>
    <row r="196" spans="1:7" ht="27" thickTop="1" thickBot="1" x14ac:dyDescent="0.4">
      <c r="A196" s="120"/>
      <c r="B196" s="78"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
      </c>
      <c r="C196" s="14"/>
      <c r="D196" s="2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t="s">
        <v>526</v>
      </c>
      <c r="G196" t="s">
        <v>404</v>
      </c>
    </row>
    <row r="197" spans="1:7" ht="27" thickTop="1" thickBot="1" x14ac:dyDescent="0.4">
      <c r="A197" s="120"/>
      <c r="B197" s="51"/>
      <c r="C197" s="74"/>
      <c r="F197" t="s">
        <v>404</v>
      </c>
      <c r="G197" t="s">
        <v>404</v>
      </c>
    </row>
    <row r="198" spans="1:7" ht="27" thickTop="1" thickBot="1" x14ac:dyDescent="0.4">
      <c r="A198" s="120"/>
      <c r="B198" s="12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3"/>
      <c r="D198" s="23" t="str">
        <f>IF(OR(B199="Please select 'Yes' or 'No' from the drop down list",B199="Please select 'I confirm' or 'I do not confirm' from the drop down list"),"E","")</f>
        <v/>
      </c>
      <c r="E198" s="23" t="str">
        <f>IF(B198="Is another domestic provider required?","E",IF(B198="Please confirm that the details entered into the Entry Form are correct","B",""))</f>
        <v/>
      </c>
      <c r="F198" t="s">
        <v>526</v>
      </c>
      <c r="G198" t="s">
        <v>521</v>
      </c>
    </row>
    <row r="199" spans="1:7" ht="27" thickTop="1" thickBot="1" x14ac:dyDescent="0.4">
      <c r="A199" s="124" t="str">
        <f>IF(AND(B199="Choose provider from the list",C198="Yes"),"Domestic Provider "&amp;(ROW()-ROW(A$154))/5,"")</f>
        <v/>
      </c>
      <c r="B199" s="78"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130"/>
      <c r="D199" s="2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23" t="str">
        <f>IF(B199="Choose provider from the list","H","")</f>
        <v/>
      </c>
      <c r="F199" t="s">
        <v>526</v>
      </c>
      <c r="G199" t="s">
        <v>524</v>
      </c>
    </row>
    <row r="200" spans="1:7" ht="27" thickTop="1" thickBot="1" x14ac:dyDescent="0.4">
      <c r="A200" s="120"/>
      <c r="B200" s="78" t="str">
        <f>IF(B199&lt;&gt;"Choose provider from the list","",IF(C199&lt;&gt;"PROVIDER NOT LISTED","","Type provider name manually"))</f>
        <v/>
      </c>
      <c r="C200" s="130"/>
      <c r="D200" s="2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t="s">
        <v>526</v>
      </c>
      <c r="G200" t="s">
        <v>404</v>
      </c>
    </row>
    <row r="201" spans="1:7" ht="27" thickTop="1" thickBot="1" x14ac:dyDescent="0.4">
      <c r="A201" s="120"/>
      <c r="B201" s="78"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4"/>
      <c r="D201" s="2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t="s">
        <v>526</v>
      </c>
      <c r="G201" t="s">
        <v>404</v>
      </c>
    </row>
    <row r="202" spans="1:7" ht="27" thickTop="1" thickBot="1" x14ac:dyDescent="0.4">
      <c r="A202" s="120"/>
      <c r="B202" s="51"/>
      <c r="C202" s="74"/>
      <c r="F202" t="s">
        <v>404</v>
      </c>
      <c r="G202" t="s">
        <v>404</v>
      </c>
    </row>
    <row r="203" spans="1:7" ht="27" thickTop="1" thickBot="1" x14ac:dyDescent="0.4">
      <c r="A203" s="120"/>
      <c r="B203" s="12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3"/>
      <c r="D203" s="23" t="str">
        <f>IF(OR(B204="Please select 'Yes' or 'No' from the drop down list",B204="Please select 'I confirm' or 'I do not confirm' from the drop down list"),"E","")</f>
        <v/>
      </c>
      <c r="E203" s="23" t="str">
        <f>IF(B203="Is another domestic provider required?","E",IF(B203="Please confirm that the details entered into the Entry Form are correct","B",""))</f>
        <v/>
      </c>
      <c r="F203" t="s">
        <v>526</v>
      </c>
      <c r="G203" t="s">
        <v>521</v>
      </c>
    </row>
    <row r="204" spans="1:7" ht="27" thickTop="1" thickBot="1" x14ac:dyDescent="0.4">
      <c r="A204" s="124" t="str">
        <f>IF(AND(B204="Choose provider from the list",C203="Yes"),"Domestic Provider "&amp;(ROW()-ROW(A$154))/5,"")</f>
        <v/>
      </c>
      <c r="B204" s="78"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130"/>
      <c r="D204" s="2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23" t="str">
        <f>IF(B204="Choose provider from the list","H","")</f>
        <v/>
      </c>
      <c r="F204" t="s">
        <v>526</v>
      </c>
      <c r="G204" t="s">
        <v>524</v>
      </c>
    </row>
    <row r="205" spans="1:7" ht="27" thickTop="1" thickBot="1" x14ac:dyDescent="0.4">
      <c r="A205" s="120"/>
      <c r="B205" s="78" t="str">
        <f>IF(B204&lt;&gt;"Choose provider from the list","",IF(C204&lt;&gt;"PROVIDER NOT LISTED","","Type provider name manually"))</f>
        <v/>
      </c>
      <c r="C205" s="130"/>
      <c r="D205" s="2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t="s">
        <v>526</v>
      </c>
      <c r="G205" t="s">
        <v>404</v>
      </c>
    </row>
    <row r="206" spans="1:7" ht="27" thickTop="1" thickBot="1" x14ac:dyDescent="0.4">
      <c r="A206" s="120"/>
      <c r="B206" s="78"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4"/>
      <c r="D206" s="2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t="s">
        <v>526</v>
      </c>
      <c r="G206" t="s">
        <v>404</v>
      </c>
    </row>
    <row r="207" spans="1:7" ht="27" thickTop="1" thickBot="1" x14ac:dyDescent="0.4">
      <c r="A207" s="120"/>
      <c r="B207" s="51"/>
      <c r="C207" s="74"/>
      <c r="F207" t="s">
        <v>404</v>
      </c>
      <c r="G207" t="s">
        <v>404</v>
      </c>
    </row>
    <row r="208" spans="1:7" ht="27" thickTop="1" thickBot="1" x14ac:dyDescent="0.4">
      <c r="A208" s="120"/>
      <c r="B208" s="12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3"/>
      <c r="D208" s="23" t="str">
        <f>IF(OR(B209="Please select 'Yes' or 'No' from the drop down list",B209="Please select 'I confirm' or 'I do not confirm' from the drop down list"),"E","")</f>
        <v/>
      </c>
      <c r="E208" s="23" t="str">
        <f>IF(B208="Is another domestic provider required?","E",IF(B208="Please confirm that the details entered into the Entry Form are correct","B",""))</f>
        <v/>
      </c>
      <c r="F208" t="s">
        <v>526</v>
      </c>
      <c r="G208" t="s">
        <v>521</v>
      </c>
    </row>
    <row r="209" spans="1:7" ht="27" thickTop="1" thickBot="1" x14ac:dyDescent="0.4">
      <c r="A209" s="124" t="str">
        <f>IF(AND(B209="Choose provider from the list",C208="Yes"),"Domestic Provider "&amp;(ROW()-ROW(A$154))/5,"")</f>
        <v/>
      </c>
      <c r="B209" s="78"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130"/>
      <c r="D209" s="2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23" t="str">
        <f>IF(B209="Choose provider from the list","H","")</f>
        <v/>
      </c>
      <c r="F209" t="s">
        <v>526</v>
      </c>
      <c r="G209" t="s">
        <v>524</v>
      </c>
    </row>
    <row r="210" spans="1:7" ht="27" thickTop="1" thickBot="1" x14ac:dyDescent="0.4">
      <c r="A210" s="120"/>
      <c r="B210" s="78" t="str">
        <f>IF(B209&lt;&gt;"Choose provider from the list","",IF(C209&lt;&gt;"PROVIDER NOT LISTED","","Type provider name manually"))</f>
        <v/>
      </c>
      <c r="C210" s="130"/>
      <c r="D210" s="2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t="s">
        <v>526</v>
      </c>
      <c r="G210" t="s">
        <v>404</v>
      </c>
    </row>
    <row r="211" spans="1:7" ht="27" thickTop="1" thickBot="1" x14ac:dyDescent="0.4">
      <c r="A211" s="120"/>
      <c r="B211" s="78"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4"/>
      <c r="D211" s="2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t="s">
        <v>526</v>
      </c>
      <c r="G211" t="s">
        <v>404</v>
      </c>
    </row>
    <row r="212" spans="1:7" ht="27" thickTop="1" thickBot="1" x14ac:dyDescent="0.4">
      <c r="A212" s="120"/>
      <c r="B212" s="51"/>
      <c r="C212" s="74"/>
      <c r="F212" t="s">
        <v>404</v>
      </c>
      <c r="G212" t="s">
        <v>404</v>
      </c>
    </row>
    <row r="213" spans="1:7" ht="27" thickTop="1" thickBot="1" x14ac:dyDescent="0.4">
      <c r="A213" s="120"/>
      <c r="B213" s="12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3"/>
      <c r="D213" s="23" t="str">
        <f>IF(OR(B214="Please select 'Yes' or 'No' from the drop down list",B214="Please select 'I confirm' or 'I do not confirm' from the drop down list"),"E","")</f>
        <v/>
      </c>
      <c r="E213" s="23" t="str">
        <f>IF(B213="Is another domestic provider required?","E",IF(B213="Please confirm that the details entered into the Entry Form are correct","B",""))</f>
        <v/>
      </c>
      <c r="F213" t="s">
        <v>526</v>
      </c>
      <c r="G213" t="s">
        <v>521</v>
      </c>
    </row>
    <row r="214" spans="1:7" ht="27" thickTop="1" thickBot="1" x14ac:dyDescent="0.4">
      <c r="A214" s="124" t="str">
        <f>IF(AND(B214="Choose provider from the list",C213="Yes"),"Domestic Provider "&amp;(ROW()-ROW(A$154))/5,"")</f>
        <v/>
      </c>
      <c r="B214" s="78"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130"/>
      <c r="D214" s="2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23" t="str">
        <f>IF(B214="Choose provider from the list","H","")</f>
        <v/>
      </c>
      <c r="F214" t="s">
        <v>526</v>
      </c>
      <c r="G214" t="s">
        <v>524</v>
      </c>
    </row>
    <row r="215" spans="1:7" ht="27" thickTop="1" thickBot="1" x14ac:dyDescent="0.4">
      <c r="A215" s="120"/>
      <c r="B215" s="78" t="str">
        <f>IF(B214&lt;&gt;"Choose provider from the list","",IF(C214&lt;&gt;"PROVIDER NOT LISTED","","Type provider name manually"))</f>
        <v/>
      </c>
      <c r="C215" s="130"/>
      <c r="D215" s="2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t="s">
        <v>526</v>
      </c>
      <c r="G215" t="s">
        <v>404</v>
      </c>
    </row>
    <row r="216" spans="1:7" ht="27" thickTop="1" thickBot="1" x14ac:dyDescent="0.4">
      <c r="A216" s="120"/>
      <c r="B216" s="78"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4"/>
      <c r="D216" s="2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t="s">
        <v>526</v>
      </c>
      <c r="G216" t="s">
        <v>404</v>
      </c>
    </row>
    <row r="217" spans="1:7" ht="27" thickTop="1" thickBot="1" x14ac:dyDescent="0.4">
      <c r="A217" s="120"/>
      <c r="B217" s="51"/>
      <c r="C217" s="74"/>
      <c r="F217" t="s">
        <v>404</v>
      </c>
      <c r="G217" t="s">
        <v>404</v>
      </c>
    </row>
    <row r="218" spans="1:7" ht="27" thickTop="1" thickBot="1" x14ac:dyDescent="0.4">
      <c r="A218" s="120"/>
      <c r="B218" s="12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3"/>
      <c r="D218" s="23" t="str">
        <f>IF(OR(B219="Please select 'Yes' or 'No' from the drop down list",B219="Please select 'I confirm' or 'I do not confirm' from the drop down list"),"E","")</f>
        <v/>
      </c>
      <c r="E218" s="23" t="str">
        <f>IF(B218="Is another domestic provider required?","E",IF(B218="Please confirm that the details entered into the Entry Form are correct","B",""))</f>
        <v/>
      </c>
      <c r="F218" t="s">
        <v>526</v>
      </c>
      <c r="G218" t="s">
        <v>521</v>
      </c>
    </row>
    <row r="219" spans="1:7" ht="27" thickTop="1" thickBot="1" x14ac:dyDescent="0.4">
      <c r="A219" s="124" t="str">
        <f>IF(AND(B219="Choose provider from the list",C218="Yes"),"Domestic Provider "&amp;(ROW()-ROW(A$154))/5,"")</f>
        <v/>
      </c>
      <c r="B219" s="78"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130"/>
      <c r="D219" s="2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23" t="str">
        <f>IF(B219="Choose provider from the list","H","")</f>
        <v/>
      </c>
      <c r="F219" t="s">
        <v>526</v>
      </c>
      <c r="G219" t="s">
        <v>524</v>
      </c>
    </row>
    <row r="220" spans="1:7" ht="27" thickTop="1" thickBot="1" x14ac:dyDescent="0.4">
      <c r="A220" s="120"/>
      <c r="B220" s="78" t="str">
        <f>IF(B219&lt;&gt;"Choose provider from the list","",IF(C219&lt;&gt;"PROVIDER NOT LISTED","","Type provider name manually"))</f>
        <v/>
      </c>
      <c r="C220" s="130"/>
      <c r="D220" s="2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t="s">
        <v>526</v>
      </c>
      <c r="G220" t="s">
        <v>404</v>
      </c>
    </row>
    <row r="221" spans="1:7" ht="27" thickTop="1" thickBot="1" x14ac:dyDescent="0.4">
      <c r="A221" s="120"/>
      <c r="B221" s="78"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4"/>
      <c r="D221" s="2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t="s">
        <v>526</v>
      </c>
      <c r="G221" t="s">
        <v>404</v>
      </c>
    </row>
    <row r="222" spans="1:7" ht="27" thickTop="1" thickBot="1" x14ac:dyDescent="0.4">
      <c r="A222" s="120"/>
      <c r="B222" s="51"/>
      <c r="C222" s="74"/>
      <c r="F222" t="s">
        <v>404</v>
      </c>
      <c r="G222" t="s">
        <v>404</v>
      </c>
    </row>
    <row r="223" spans="1:7" ht="27" thickTop="1" thickBot="1" x14ac:dyDescent="0.4">
      <c r="A223" s="120"/>
      <c r="B223" s="12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3"/>
      <c r="D223" s="23" t="str">
        <f>IF(OR(B224="Please select 'Yes' or 'No' from the drop down list",B224="Please select 'I confirm' or 'I do not confirm' from the drop down list"),"E","")</f>
        <v/>
      </c>
      <c r="E223" s="23" t="str">
        <f>IF(B223="Is another domestic provider required?","E",IF(B223="Please confirm that the details entered into the Entry Form are correct","B",""))</f>
        <v/>
      </c>
      <c r="F223" t="s">
        <v>526</v>
      </c>
      <c r="G223" t="s">
        <v>521</v>
      </c>
    </row>
    <row r="224" spans="1:7" ht="27" thickTop="1" thickBot="1" x14ac:dyDescent="0.4">
      <c r="A224" s="124" t="str">
        <f>IF(AND(B224="Choose provider from the list",C223="Yes"),"Domestic Provider "&amp;(ROW()-ROW(A$154))/5,"")</f>
        <v/>
      </c>
      <c r="B224" s="78"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130"/>
      <c r="D224" s="2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23" t="str">
        <f>IF(B224="Choose provider from the list","H","")</f>
        <v/>
      </c>
      <c r="F224" t="s">
        <v>526</v>
      </c>
      <c r="G224" t="s">
        <v>524</v>
      </c>
    </row>
    <row r="225" spans="1:7" ht="27" thickTop="1" thickBot="1" x14ac:dyDescent="0.4">
      <c r="A225" s="120"/>
      <c r="B225" s="78" t="str">
        <f>IF(B224&lt;&gt;"Choose provider from the list","",IF(C224&lt;&gt;"PROVIDER NOT LISTED","","Type provider name manually"))</f>
        <v/>
      </c>
      <c r="C225" s="130"/>
      <c r="D225" s="2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t="s">
        <v>526</v>
      </c>
      <c r="G225" t="s">
        <v>404</v>
      </c>
    </row>
    <row r="226" spans="1:7" ht="27" thickTop="1" thickBot="1" x14ac:dyDescent="0.4">
      <c r="A226" s="120"/>
      <c r="B226" s="78"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4"/>
      <c r="D226" s="2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t="s">
        <v>526</v>
      </c>
      <c r="G226" t="s">
        <v>404</v>
      </c>
    </row>
    <row r="227" spans="1:7" ht="27" thickTop="1" thickBot="1" x14ac:dyDescent="0.4">
      <c r="A227" s="120"/>
      <c r="B227" s="51"/>
      <c r="C227" s="74"/>
      <c r="F227" t="s">
        <v>404</v>
      </c>
      <c r="G227" t="s">
        <v>404</v>
      </c>
    </row>
    <row r="228" spans="1:7" ht="27" thickTop="1" thickBot="1" x14ac:dyDescent="0.4">
      <c r="A228" s="120"/>
      <c r="B228" s="12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3"/>
      <c r="D228" s="23" t="str">
        <f>IF(OR(B229="Please select 'Yes' or 'No' from the drop down list",B229="Please select 'I confirm' or 'I do not confirm' from the drop down list"),"E","")</f>
        <v/>
      </c>
      <c r="E228" s="23" t="str">
        <f>IF(B228="Is another domestic provider required?","E",IF(B228="Please confirm that the details entered into the Entry Form are correct","B",""))</f>
        <v/>
      </c>
      <c r="F228" t="s">
        <v>526</v>
      </c>
      <c r="G228" t="s">
        <v>521</v>
      </c>
    </row>
    <row r="229" spans="1:7" ht="27" thickTop="1" thickBot="1" x14ac:dyDescent="0.4">
      <c r="A229" s="124" t="str">
        <f>IF(AND(B229="Choose provider from the list",C228="Yes"),"Domestic Provider "&amp;(ROW()-ROW(A$154))/5,"")</f>
        <v/>
      </c>
      <c r="B229" s="78"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130"/>
      <c r="D229" s="2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23" t="str">
        <f>IF(B229="Choose provider from the list","H","")</f>
        <v/>
      </c>
      <c r="F229" t="s">
        <v>526</v>
      </c>
      <c r="G229" t="s">
        <v>524</v>
      </c>
    </row>
    <row r="230" spans="1:7" ht="27" thickTop="1" thickBot="1" x14ac:dyDescent="0.4">
      <c r="A230" s="120"/>
      <c r="B230" s="78" t="str">
        <f>IF(B229&lt;&gt;"Choose provider from the list","",IF(C229&lt;&gt;"PROVIDER NOT LISTED","","Type provider name manually"))</f>
        <v/>
      </c>
      <c r="C230" s="130"/>
      <c r="D230" s="2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t="s">
        <v>526</v>
      </c>
      <c r="G230" t="s">
        <v>404</v>
      </c>
    </row>
    <row r="231" spans="1:7" ht="27" thickTop="1" thickBot="1" x14ac:dyDescent="0.4">
      <c r="A231" s="120"/>
      <c r="B231" s="78"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4"/>
      <c r="D231" s="2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t="s">
        <v>526</v>
      </c>
      <c r="G231" t="s">
        <v>404</v>
      </c>
    </row>
    <row r="232" spans="1:7" ht="27" thickTop="1" thickBot="1" x14ac:dyDescent="0.4">
      <c r="A232" s="120"/>
      <c r="B232" s="51"/>
      <c r="C232" s="74"/>
      <c r="F232" t="s">
        <v>404</v>
      </c>
      <c r="G232" t="s">
        <v>404</v>
      </c>
    </row>
    <row r="233" spans="1:7" ht="27" thickTop="1" thickBot="1" x14ac:dyDescent="0.4">
      <c r="A233" s="120"/>
      <c r="B233" s="12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3"/>
      <c r="D233" s="23" t="str">
        <f>IF(OR(B234="Please select 'Yes' or 'No' from the drop down list",B234="Please select 'I confirm' or 'I do not confirm' from the drop down list"),"E","")</f>
        <v/>
      </c>
      <c r="E233" s="23" t="str">
        <f>IF(B233="Is another domestic provider required?","E",IF(B233="Please confirm that the details entered into the Entry Form are correct","B",""))</f>
        <v/>
      </c>
      <c r="F233" t="s">
        <v>526</v>
      </c>
      <c r="G233" t="s">
        <v>521</v>
      </c>
    </row>
    <row r="234" spans="1:7" ht="27" thickTop="1" thickBot="1" x14ac:dyDescent="0.4">
      <c r="A234" s="124" t="str">
        <f>IF(AND(B234="Choose provider from the list",C233="Yes"),"Domestic Provider "&amp;(ROW()-ROW(A$154))/5,"")</f>
        <v/>
      </c>
      <c r="B234" s="78"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130"/>
      <c r="D234" s="2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23" t="str">
        <f>IF(B234="Choose provider from the list","H","")</f>
        <v/>
      </c>
      <c r="F234" t="s">
        <v>526</v>
      </c>
      <c r="G234" t="s">
        <v>524</v>
      </c>
    </row>
    <row r="235" spans="1:7" ht="27" thickTop="1" thickBot="1" x14ac:dyDescent="0.4">
      <c r="A235" s="120"/>
      <c r="B235" s="78" t="str">
        <f>IF(B234&lt;&gt;"Choose provider from the list","",IF(C234&lt;&gt;"PROVIDER NOT LISTED","","Type provider name manually"))</f>
        <v/>
      </c>
      <c r="C235" s="130"/>
      <c r="D235" s="2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t="s">
        <v>526</v>
      </c>
      <c r="G235" t="s">
        <v>404</v>
      </c>
    </row>
    <row r="236" spans="1:7" ht="27" thickTop="1" thickBot="1" x14ac:dyDescent="0.4">
      <c r="A236" s="120"/>
      <c r="B236" s="78"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4"/>
      <c r="D236" s="2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t="s">
        <v>526</v>
      </c>
      <c r="G236" t="s">
        <v>404</v>
      </c>
    </row>
    <row r="237" spans="1:7" ht="27" thickTop="1" thickBot="1" x14ac:dyDescent="0.4">
      <c r="A237" s="120"/>
      <c r="B237" s="51"/>
      <c r="C237" s="74"/>
      <c r="F237" t="s">
        <v>404</v>
      </c>
      <c r="G237" t="s">
        <v>404</v>
      </c>
    </row>
    <row r="238" spans="1:7" ht="27" thickTop="1" thickBot="1" x14ac:dyDescent="0.4">
      <c r="A238" s="120"/>
      <c r="B238" s="12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3"/>
      <c r="D238" s="23" t="str">
        <f>IF(OR(B239="Please select 'Yes' or 'No' from the drop down list",B239="Please select 'I confirm' or 'I do not confirm' from the drop down list"),"E","")</f>
        <v/>
      </c>
      <c r="E238" s="23" t="str">
        <f>IF(B238="Is another domestic provider required?","E",IF(B238="Please confirm that the details entered into the Entry Form are correct","B",""))</f>
        <v/>
      </c>
      <c r="F238" t="s">
        <v>526</v>
      </c>
      <c r="G238" t="s">
        <v>521</v>
      </c>
    </row>
    <row r="239" spans="1:7" ht="27" thickTop="1" thickBot="1" x14ac:dyDescent="0.4">
      <c r="A239" s="124" t="str">
        <f>IF(AND(B239="Choose provider from the list",C238="Yes"),"Domestic Provider "&amp;(ROW()-ROW(A$154))/5,"")</f>
        <v/>
      </c>
      <c r="B239" s="78"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130"/>
      <c r="D239" s="2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23" t="str">
        <f>IF(B239="Choose provider from the list","H","")</f>
        <v/>
      </c>
      <c r="F239" t="s">
        <v>526</v>
      </c>
      <c r="G239" t="s">
        <v>524</v>
      </c>
    </row>
    <row r="240" spans="1:7" ht="27" thickTop="1" thickBot="1" x14ac:dyDescent="0.4">
      <c r="A240" s="120"/>
      <c r="B240" s="78" t="str">
        <f>IF(B239&lt;&gt;"Choose provider from the list","",IF(C239&lt;&gt;"PROVIDER NOT LISTED","","Type provider name manually"))</f>
        <v/>
      </c>
      <c r="C240" s="130"/>
      <c r="D240" s="2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t="s">
        <v>526</v>
      </c>
      <c r="G240" t="s">
        <v>404</v>
      </c>
    </row>
    <row r="241" spans="1:7" ht="27" thickTop="1" thickBot="1" x14ac:dyDescent="0.4">
      <c r="A241" s="120"/>
      <c r="B241" s="78"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4"/>
      <c r="D241" s="2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t="s">
        <v>526</v>
      </c>
      <c r="G241" t="s">
        <v>404</v>
      </c>
    </row>
    <row r="242" spans="1:7" ht="27" thickTop="1" thickBot="1" x14ac:dyDescent="0.4">
      <c r="A242" s="120"/>
      <c r="B242" s="51"/>
      <c r="C242" s="74"/>
      <c r="F242" t="s">
        <v>404</v>
      </c>
      <c r="G242" t="s">
        <v>404</v>
      </c>
    </row>
    <row r="243" spans="1:7" ht="27" thickTop="1" thickBot="1" x14ac:dyDescent="0.4">
      <c r="A243" s="120"/>
      <c r="B243" s="12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3"/>
      <c r="D243" s="23" t="str">
        <f>IF(OR(B244="Please select 'Yes' or 'No' from the drop down list",B244="Please select 'I confirm' or 'I do not confirm' from the drop down list"),"E","")</f>
        <v/>
      </c>
      <c r="E243" s="23" t="str">
        <f>IF(B243="Is another domestic provider required?","E",IF(B243="Please confirm that the details entered into the Entry Form are correct","B",""))</f>
        <v/>
      </c>
      <c r="F243" t="s">
        <v>526</v>
      </c>
      <c r="G243" t="s">
        <v>521</v>
      </c>
    </row>
    <row r="244" spans="1:7" ht="27" thickTop="1" thickBot="1" x14ac:dyDescent="0.4">
      <c r="A244" s="124" t="str">
        <f>IF(AND(B244="Choose provider from the list",C243="Yes"),"Domestic Provider "&amp;(ROW()-ROW(A$154))/5,"")</f>
        <v/>
      </c>
      <c r="B244" s="78"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130"/>
      <c r="D244" s="2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23" t="str">
        <f>IF(B244="Choose provider from the list","H","")</f>
        <v/>
      </c>
      <c r="F244" t="s">
        <v>526</v>
      </c>
      <c r="G244" t="s">
        <v>524</v>
      </c>
    </row>
    <row r="245" spans="1:7" ht="27" thickTop="1" thickBot="1" x14ac:dyDescent="0.4">
      <c r="A245" s="120"/>
      <c r="B245" s="78" t="str">
        <f>IF(B244&lt;&gt;"Choose provider from the list","",IF(C244&lt;&gt;"PROVIDER NOT LISTED","","Type provider name manually"))</f>
        <v/>
      </c>
      <c r="C245" s="130"/>
      <c r="D245" s="2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t="s">
        <v>526</v>
      </c>
      <c r="G245" t="s">
        <v>404</v>
      </c>
    </row>
    <row r="246" spans="1:7" ht="27" thickTop="1" thickBot="1" x14ac:dyDescent="0.4">
      <c r="A246" s="120"/>
      <c r="B246" s="78"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4"/>
      <c r="D246" s="2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t="s">
        <v>526</v>
      </c>
      <c r="G246" t="s">
        <v>404</v>
      </c>
    </row>
    <row r="247" spans="1:7" ht="27" thickTop="1" thickBot="1" x14ac:dyDescent="0.4">
      <c r="A247" s="120"/>
      <c r="B247" s="51"/>
      <c r="C247" s="74"/>
      <c r="F247" t="s">
        <v>404</v>
      </c>
      <c r="G247" t="s">
        <v>404</v>
      </c>
    </row>
    <row r="248" spans="1:7" ht="27" thickTop="1" thickBot="1" x14ac:dyDescent="0.4">
      <c r="A248" s="120"/>
      <c r="B248" s="12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3"/>
      <c r="D248" s="23" t="str">
        <f>IF(OR(B249="Please select 'Yes' or 'No' from the drop down list",B249="Please select 'I confirm' or 'I do not confirm' from the drop down list"),"E","")</f>
        <v/>
      </c>
      <c r="E248" s="23" t="str">
        <f>IF(B248="Is another domestic provider required?","E",IF(B248="Please confirm that the details entered into the Entry Form are correct","B",""))</f>
        <v/>
      </c>
      <c r="F248" t="s">
        <v>526</v>
      </c>
      <c r="G248" t="s">
        <v>521</v>
      </c>
    </row>
    <row r="249" spans="1:7" ht="27" thickTop="1" thickBot="1" x14ac:dyDescent="0.4">
      <c r="A249" s="124" t="str">
        <f>IF(AND(B249="Choose provider from the list",C248="Yes"),"Domestic Provider "&amp;(ROW()-ROW(A$154))/5,"")</f>
        <v/>
      </c>
      <c r="B249" s="78"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130"/>
      <c r="D249" s="2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23" t="str">
        <f>IF(B249="Choose provider from the list","H","")</f>
        <v/>
      </c>
      <c r="F249" t="s">
        <v>526</v>
      </c>
      <c r="G249" t="s">
        <v>524</v>
      </c>
    </row>
    <row r="250" spans="1:7" ht="27" thickTop="1" thickBot="1" x14ac:dyDescent="0.4">
      <c r="A250" s="120"/>
      <c r="B250" s="78" t="str">
        <f>IF(B249&lt;&gt;"Choose provider from the list","",IF(C249&lt;&gt;"PROVIDER NOT LISTED","","Type provider name manually"))</f>
        <v/>
      </c>
      <c r="C250" s="130"/>
      <c r="D250" s="2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t="s">
        <v>526</v>
      </c>
      <c r="G250" t="s">
        <v>404</v>
      </c>
    </row>
    <row r="251" spans="1:7" ht="27" thickTop="1" thickBot="1" x14ac:dyDescent="0.4">
      <c r="A251" s="120"/>
      <c r="B251" s="78"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4"/>
      <c r="D251" s="2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t="s">
        <v>526</v>
      </c>
      <c r="G251" t="s">
        <v>404</v>
      </c>
    </row>
    <row r="252" spans="1:7" ht="27" thickTop="1" thickBot="1" x14ac:dyDescent="0.4">
      <c r="A252" s="120"/>
      <c r="B252" s="51"/>
      <c r="C252" s="74"/>
      <c r="F252" t="s">
        <v>404</v>
      </c>
      <c r="G252" t="s">
        <v>404</v>
      </c>
    </row>
    <row r="253" spans="1:7" ht="27" thickTop="1" thickBot="1" x14ac:dyDescent="0.4">
      <c r="A253" s="120"/>
      <c r="B253" s="12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3"/>
      <c r="D253" s="23" t="str">
        <f>IF(OR(B254="Please select 'Yes' or 'No' from the drop down list",B254="Please select 'I confirm' or 'I do not confirm' from the drop down list"),"E","")</f>
        <v/>
      </c>
      <c r="E253" s="23" t="str">
        <f>IF(B253="Is another domestic provider required?","E",IF(B253="Please confirm that the details entered into the Entry Form are correct","B",""))</f>
        <v/>
      </c>
      <c r="F253" t="s">
        <v>526</v>
      </c>
      <c r="G253" t="s">
        <v>521</v>
      </c>
    </row>
    <row r="254" spans="1:7" ht="27" thickTop="1" thickBot="1" x14ac:dyDescent="0.4">
      <c r="A254" s="124" t="str">
        <f>IF(AND(B254="Choose provider from the list",C253="Yes"),"Domestic Provider "&amp;(ROW()-ROW(A$154))/5,"")</f>
        <v/>
      </c>
      <c r="B254" s="78"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130"/>
      <c r="D254" s="2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23" t="str">
        <f>IF(B254="Choose provider from the list","H","")</f>
        <v/>
      </c>
      <c r="F254" t="s">
        <v>526</v>
      </c>
      <c r="G254" t="s">
        <v>524</v>
      </c>
    </row>
    <row r="255" spans="1:7" ht="27" thickTop="1" thickBot="1" x14ac:dyDescent="0.4">
      <c r="A255" s="120"/>
      <c r="B255" s="78" t="str">
        <f>IF(B254&lt;&gt;"Choose provider from the list","",IF(C254&lt;&gt;"PROVIDER NOT LISTED","","Type provider name manually"))</f>
        <v/>
      </c>
      <c r="C255" s="130"/>
      <c r="D255" s="2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t="s">
        <v>526</v>
      </c>
      <c r="G255" t="s">
        <v>404</v>
      </c>
    </row>
    <row r="256" spans="1:7" ht="27" thickTop="1" thickBot="1" x14ac:dyDescent="0.4">
      <c r="A256" s="120"/>
      <c r="B256" s="78"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4"/>
      <c r="D256" s="2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t="s">
        <v>526</v>
      </c>
      <c r="G256" t="s">
        <v>404</v>
      </c>
    </row>
    <row r="257" spans="1:7" ht="27" thickTop="1" thickBot="1" x14ac:dyDescent="0.4">
      <c r="A257" s="120"/>
      <c r="B257" s="51"/>
      <c r="C257" s="74"/>
      <c r="F257" t="s">
        <v>404</v>
      </c>
      <c r="G257" t="s">
        <v>404</v>
      </c>
    </row>
    <row r="258" spans="1:7" ht="27" thickTop="1" thickBot="1" x14ac:dyDescent="0.4">
      <c r="A258" s="120"/>
      <c r="B258" s="12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3"/>
      <c r="D258" s="23" t="str">
        <f>IF(OR(B259="Please select 'Yes' or 'No' from the drop down list",B259="Please select 'I confirm' or 'I do not confirm' from the drop down list"),"E","")</f>
        <v/>
      </c>
      <c r="E258" s="23" t="str">
        <f>IF(B258="Is another domestic provider required?","E",IF(B258="Please confirm that the details entered into the Entry Form are correct","B",""))</f>
        <v/>
      </c>
      <c r="F258" t="s">
        <v>526</v>
      </c>
      <c r="G258" t="s">
        <v>521</v>
      </c>
    </row>
    <row r="259" spans="1:7" ht="27" thickTop="1" thickBot="1" x14ac:dyDescent="0.4">
      <c r="A259" s="124" t="str">
        <f>IF(AND(B259="Choose provider from the list",C258="Yes"),"Domestic Provider "&amp;(ROW()-ROW(A$154))/5,"")</f>
        <v/>
      </c>
      <c r="B259" s="78"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130"/>
      <c r="D259" s="2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23" t="str">
        <f>IF(B259="Choose provider from the list","H","")</f>
        <v/>
      </c>
      <c r="F259" t="s">
        <v>526</v>
      </c>
      <c r="G259" t="s">
        <v>524</v>
      </c>
    </row>
    <row r="260" spans="1:7" ht="27" thickTop="1" thickBot="1" x14ac:dyDescent="0.4">
      <c r="A260" s="120"/>
      <c r="B260" s="78" t="str">
        <f>IF(B259&lt;&gt;"Choose provider from the list","",IF(C259&lt;&gt;"PROVIDER NOT LISTED","","Type provider name manually"))</f>
        <v/>
      </c>
      <c r="C260" s="130"/>
      <c r="D260" s="2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t="s">
        <v>526</v>
      </c>
      <c r="G260" t="s">
        <v>404</v>
      </c>
    </row>
    <row r="261" spans="1:7" ht="27" thickTop="1" thickBot="1" x14ac:dyDescent="0.4">
      <c r="A261" s="120"/>
      <c r="B261" s="78"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4"/>
      <c r="D261" s="2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t="s">
        <v>526</v>
      </c>
      <c r="G261" t="s">
        <v>404</v>
      </c>
    </row>
    <row r="262" spans="1:7" ht="27" thickTop="1" thickBot="1" x14ac:dyDescent="0.4">
      <c r="A262" s="120"/>
      <c r="B262" s="51"/>
      <c r="C262" s="74"/>
      <c r="F262" t="s">
        <v>404</v>
      </c>
      <c r="G262" t="s">
        <v>404</v>
      </c>
    </row>
    <row r="263" spans="1:7" ht="27" thickTop="1" thickBot="1" x14ac:dyDescent="0.4">
      <c r="A263" s="120"/>
      <c r="B263" s="12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3"/>
      <c r="D263" s="23" t="str">
        <f>IF(OR(B264="Please select 'Yes' or 'No' from the drop down list",B264="Please select 'I confirm' or 'I do not confirm' from the drop down list"),"E","")</f>
        <v/>
      </c>
      <c r="E263" s="23" t="str">
        <f>IF(B263="Is another domestic provider required?","E",IF(B263="Please confirm that the details entered into the Entry Form are correct","B",""))</f>
        <v/>
      </c>
      <c r="F263" t="s">
        <v>526</v>
      </c>
      <c r="G263" t="s">
        <v>521</v>
      </c>
    </row>
    <row r="264" spans="1:7" ht="27" thickTop="1" thickBot="1" x14ac:dyDescent="0.4">
      <c r="A264" s="124" t="str">
        <f>IF(AND(B264="Choose provider from the list",C263="Yes"),"Domestic Provider "&amp;(ROW()-ROW(A$154))/5,"")</f>
        <v/>
      </c>
      <c r="B264" s="78"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130"/>
      <c r="D264" s="2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23" t="str">
        <f>IF(B264="Choose provider from the list","H","")</f>
        <v/>
      </c>
      <c r="F264" t="s">
        <v>526</v>
      </c>
      <c r="G264" t="s">
        <v>524</v>
      </c>
    </row>
    <row r="265" spans="1:7" ht="27" thickTop="1" thickBot="1" x14ac:dyDescent="0.4">
      <c r="A265" s="120"/>
      <c r="B265" s="78" t="str">
        <f>IF(B264&lt;&gt;"Choose provider from the list","",IF(C264&lt;&gt;"PROVIDER NOT LISTED","","Type provider name manually"))</f>
        <v/>
      </c>
      <c r="C265" s="130"/>
      <c r="D265" s="2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t="s">
        <v>526</v>
      </c>
      <c r="G265" t="s">
        <v>404</v>
      </c>
    </row>
    <row r="266" spans="1:7" ht="27" thickTop="1" thickBot="1" x14ac:dyDescent="0.4">
      <c r="A266" s="120"/>
      <c r="B266" s="78"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4"/>
      <c r="D266" s="2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t="s">
        <v>526</v>
      </c>
      <c r="G266" t="s">
        <v>404</v>
      </c>
    </row>
    <row r="267" spans="1:7" ht="27" thickTop="1" thickBot="1" x14ac:dyDescent="0.4">
      <c r="A267" s="120"/>
      <c r="B267" s="51"/>
      <c r="C267" s="74"/>
      <c r="F267" t="s">
        <v>404</v>
      </c>
      <c r="G267" t="s">
        <v>404</v>
      </c>
    </row>
    <row r="268" spans="1:7" ht="27" thickTop="1" thickBot="1" x14ac:dyDescent="0.4">
      <c r="A268" s="120"/>
      <c r="B268" s="12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3"/>
      <c r="D268" s="23" t="str">
        <f>IF(OR(B269="Please select 'Yes' or 'No' from the drop down list",B269="Please select 'I confirm' or 'I do not confirm' from the drop down list"),"E","")</f>
        <v/>
      </c>
      <c r="E268" s="23" t="str">
        <f>IF(B268="Is another domestic provider required?","E",IF(B268="Please confirm that the details entered into the Entry Form are correct","B",""))</f>
        <v/>
      </c>
      <c r="F268" t="s">
        <v>526</v>
      </c>
      <c r="G268" t="s">
        <v>521</v>
      </c>
    </row>
    <row r="269" spans="1:7" ht="27" thickTop="1" thickBot="1" x14ac:dyDescent="0.4">
      <c r="A269" s="124" t="str">
        <f>IF(AND(B269="Choose provider from the list",C268="Yes"),"Domestic Provider "&amp;(ROW()-ROW(A$154))/5,"")</f>
        <v/>
      </c>
      <c r="B269" s="78"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130"/>
      <c r="D269" s="2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23" t="str">
        <f>IF(B269="Choose provider from the list","H","")</f>
        <v/>
      </c>
      <c r="F269" t="s">
        <v>526</v>
      </c>
      <c r="G269" t="s">
        <v>524</v>
      </c>
    </row>
    <row r="270" spans="1:7" ht="27" thickTop="1" thickBot="1" x14ac:dyDescent="0.4">
      <c r="A270" s="120"/>
      <c r="B270" s="78" t="str">
        <f>IF(B269&lt;&gt;"Choose provider from the list","",IF(C269&lt;&gt;"PROVIDER NOT LISTED","","Type provider name manually"))</f>
        <v/>
      </c>
      <c r="C270" s="130"/>
      <c r="D270" s="2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t="s">
        <v>526</v>
      </c>
      <c r="G270" t="s">
        <v>404</v>
      </c>
    </row>
    <row r="271" spans="1:7" ht="27" thickTop="1" thickBot="1" x14ac:dyDescent="0.4">
      <c r="A271" s="120"/>
      <c r="B271" s="78"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4"/>
      <c r="D271" s="2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t="s">
        <v>526</v>
      </c>
      <c r="G271" t="s">
        <v>404</v>
      </c>
    </row>
    <row r="272" spans="1:7" ht="27" thickTop="1" thickBot="1" x14ac:dyDescent="0.4">
      <c r="A272" s="120"/>
      <c r="B272" s="51"/>
      <c r="C272" s="74"/>
      <c r="F272" t="s">
        <v>404</v>
      </c>
      <c r="G272" t="s">
        <v>404</v>
      </c>
    </row>
    <row r="273" spans="1:7" ht="27" thickTop="1" thickBot="1" x14ac:dyDescent="0.4">
      <c r="A273" s="120"/>
      <c r="B273" s="12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3"/>
      <c r="D273" s="23" t="str">
        <f>IF(OR(B274="Please select 'Yes' or 'No' from the drop down list",B274="Please select 'I confirm' or 'I do not confirm' from the drop down list"),"E","")</f>
        <v/>
      </c>
      <c r="E273" s="23" t="str">
        <f>IF(B273="Is another domestic provider required?","E",IF(B273="Please confirm that the details entered into the Entry Form are correct","B",""))</f>
        <v/>
      </c>
      <c r="F273" t="s">
        <v>526</v>
      </c>
      <c r="G273" t="s">
        <v>521</v>
      </c>
    </row>
    <row r="274" spans="1:7" ht="27" thickTop="1" thickBot="1" x14ac:dyDescent="0.4">
      <c r="A274" s="124" t="str">
        <f>IF(AND(B274="Choose provider from the list",C273="Yes"),"Domestic Provider "&amp;(ROW()-ROW(A$154))/5,"")</f>
        <v/>
      </c>
      <c r="B274" s="78"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130"/>
      <c r="D274" s="2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23" t="str">
        <f>IF(B274="Choose provider from the list","H","")</f>
        <v/>
      </c>
      <c r="F274" t="s">
        <v>526</v>
      </c>
      <c r="G274" t="s">
        <v>524</v>
      </c>
    </row>
    <row r="275" spans="1:7" ht="27" thickTop="1" thickBot="1" x14ac:dyDescent="0.4">
      <c r="A275" s="120"/>
      <c r="B275" s="78" t="str">
        <f>IF(B274&lt;&gt;"Choose provider from the list","",IF(C274&lt;&gt;"PROVIDER NOT LISTED","","Type provider name manually"))</f>
        <v/>
      </c>
      <c r="C275" s="130"/>
      <c r="D275" s="2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t="s">
        <v>526</v>
      </c>
      <c r="G275" t="s">
        <v>404</v>
      </c>
    </row>
    <row r="276" spans="1:7" ht="27" thickTop="1" thickBot="1" x14ac:dyDescent="0.4">
      <c r="A276" s="120"/>
      <c r="B276" s="78"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4"/>
      <c r="D276" s="2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t="s">
        <v>526</v>
      </c>
      <c r="G276" t="s">
        <v>404</v>
      </c>
    </row>
    <row r="277" spans="1:7" ht="27" thickTop="1" thickBot="1" x14ac:dyDescent="0.4">
      <c r="A277" s="120"/>
      <c r="B277" s="51"/>
      <c r="C277" s="74"/>
      <c r="F277" t="s">
        <v>404</v>
      </c>
      <c r="G277" t="s">
        <v>404</v>
      </c>
    </row>
    <row r="278" spans="1:7" ht="27" thickTop="1" thickBot="1" x14ac:dyDescent="0.4">
      <c r="A278" s="120"/>
      <c r="B278" s="12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3"/>
      <c r="D278" s="23" t="str">
        <f>IF(OR(B279="Please select 'Yes' or 'No' from the drop down list",B279="Please select 'I confirm' or 'I do not confirm' from the drop down list"),"E","")</f>
        <v/>
      </c>
      <c r="E278" s="23" t="str">
        <f>IF(B278="Is another domestic provider required?","E",IF(B278="Please confirm that the details entered into the Entry Form are correct","B",""))</f>
        <v/>
      </c>
      <c r="F278" t="s">
        <v>526</v>
      </c>
      <c r="G278" t="s">
        <v>521</v>
      </c>
    </row>
    <row r="279" spans="1:7" ht="27" thickTop="1" thickBot="1" x14ac:dyDescent="0.4">
      <c r="A279" s="124" t="str">
        <f>IF(AND(B279="Choose provider from the list",C278="Yes"),"Domestic Provider "&amp;(ROW()-ROW(A$154))/5,"")</f>
        <v/>
      </c>
      <c r="B279" s="78"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130"/>
      <c r="D279" s="2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23" t="str">
        <f>IF(B279="Choose provider from the list","H","")</f>
        <v/>
      </c>
      <c r="F279" t="s">
        <v>526</v>
      </c>
      <c r="G279" t="s">
        <v>524</v>
      </c>
    </row>
    <row r="280" spans="1:7" ht="27" thickTop="1" thickBot="1" x14ac:dyDescent="0.4">
      <c r="A280" s="120"/>
      <c r="B280" s="78" t="str">
        <f>IF(B279&lt;&gt;"Choose provider from the list","",IF(C279&lt;&gt;"PROVIDER NOT LISTED","","Type provider name manually"))</f>
        <v/>
      </c>
      <c r="C280" s="130"/>
      <c r="D280" s="2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t="s">
        <v>526</v>
      </c>
      <c r="G280" t="s">
        <v>404</v>
      </c>
    </row>
    <row r="281" spans="1:7" ht="27" thickTop="1" thickBot="1" x14ac:dyDescent="0.4">
      <c r="A281" s="120"/>
      <c r="B281" s="78"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4"/>
      <c r="D281" s="2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t="s">
        <v>526</v>
      </c>
      <c r="G281" t="s">
        <v>404</v>
      </c>
    </row>
    <row r="282" spans="1:7" ht="27" thickTop="1" thickBot="1" x14ac:dyDescent="0.4">
      <c r="A282" s="120"/>
      <c r="B282" s="51"/>
      <c r="C282" s="74"/>
      <c r="F282" t="s">
        <v>404</v>
      </c>
      <c r="G282" t="s">
        <v>404</v>
      </c>
    </row>
    <row r="283" spans="1:7" ht="27" thickTop="1" thickBot="1" x14ac:dyDescent="0.4">
      <c r="A283" s="120"/>
      <c r="B283" s="12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3"/>
      <c r="D283" s="23" t="str">
        <f>IF(OR(B284="Please select 'Yes' or 'No' from the drop down list",B284="Please select 'I confirm' or 'I do not confirm' from the drop down list"),"E","")</f>
        <v/>
      </c>
      <c r="E283" s="23" t="str">
        <f>IF(B283="Is another domestic provider required?","E",IF(B283="Please confirm that the details entered into the Entry Form are correct","B",""))</f>
        <v/>
      </c>
      <c r="F283" t="s">
        <v>526</v>
      </c>
      <c r="G283" t="s">
        <v>521</v>
      </c>
    </row>
    <row r="284" spans="1:7" ht="27" thickTop="1" thickBot="1" x14ac:dyDescent="0.4">
      <c r="A284" s="124" t="str">
        <f>IF(AND(B284="Choose provider from the list",C283="Yes"),"Domestic Provider "&amp;(ROW()-ROW(A$154))/5,"")</f>
        <v/>
      </c>
      <c r="B284" s="78"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130"/>
      <c r="D284" s="2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23" t="str">
        <f>IF(B284="Choose provider from the list","H","")</f>
        <v/>
      </c>
      <c r="F284" t="s">
        <v>526</v>
      </c>
      <c r="G284" t="s">
        <v>524</v>
      </c>
    </row>
    <row r="285" spans="1:7" ht="27" thickTop="1" thickBot="1" x14ac:dyDescent="0.4">
      <c r="A285" s="120"/>
      <c r="B285" s="78" t="str">
        <f>IF(B284&lt;&gt;"Choose provider from the list","",IF(C284&lt;&gt;"PROVIDER NOT LISTED","","Type provider name manually"))</f>
        <v/>
      </c>
      <c r="C285" s="130"/>
      <c r="D285" s="2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t="s">
        <v>526</v>
      </c>
      <c r="G285" t="s">
        <v>404</v>
      </c>
    </row>
    <row r="286" spans="1:7" ht="27" thickTop="1" thickBot="1" x14ac:dyDescent="0.4">
      <c r="A286" s="120"/>
      <c r="B286" s="78"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4"/>
      <c r="D286" s="2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t="s">
        <v>526</v>
      </c>
      <c r="G286" t="s">
        <v>404</v>
      </c>
    </row>
    <row r="287" spans="1:7" ht="27" thickTop="1" thickBot="1" x14ac:dyDescent="0.4">
      <c r="A287" s="120"/>
      <c r="B287" s="51"/>
      <c r="C287" s="74"/>
      <c r="F287" t="s">
        <v>404</v>
      </c>
      <c r="G287" t="s">
        <v>404</v>
      </c>
    </row>
    <row r="288" spans="1:7" ht="27" thickTop="1" thickBot="1" x14ac:dyDescent="0.4">
      <c r="A288" s="120"/>
      <c r="B288" s="12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3"/>
      <c r="D288" s="23" t="str">
        <f>IF(OR(B289="Please select 'Yes' or 'No' from the drop down list",B289="Please select 'I confirm' or 'I do not confirm' from the drop down list"),"E","")</f>
        <v/>
      </c>
      <c r="E288" s="23" t="str">
        <f>IF(B288="Is another domestic provider required?","E",IF(B288="Please confirm that the details entered into the Entry Form are correct","B",""))</f>
        <v/>
      </c>
      <c r="F288" t="s">
        <v>526</v>
      </c>
      <c r="G288" t="s">
        <v>521</v>
      </c>
    </row>
    <row r="289" spans="1:7" ht="27" thickTop="1" thickBot="1" x14ac:dyDescent="0.4">
      <c r="A289" s="124" t="str">
        <f>IF(AND(B289="Choose provider from the list",C288="Yes"),"Domestic Provider "&amp;(ROW()-ROW(A$154))/5,"")</f>
        <v/>
      </c>
      <c r="B289" s="78"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130"/>
      <c r="D289" s="2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23" t="str">
        <f>IF(B289="Choose provider from the list","H","")</f>
        <v/>
      </c>
      <c r="F289" t="s">
        <v>526</v>
      </c>
      <c r="G289" t="s">
        <v>524</v>
      </c>
    </row>
    <row r="290" spans="1:7" ht="27" thickTop="1" thickBot="1" x14ac:dyDescent="0.4">
      <c r="A290" s="120"/>
      <c r="B290" s="78" t="str">
        <f>IF(B289&lt;&gt;"Choose provider from the list","",IF(C289&lt;&gt;"PROVIDER NOT LISTED","","Type provider name manually"))</f>
        <v/>
      </c>
      <c r="C290" s="130"/>
      <c r="D290" s="2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t="s">
        <v>526</v>
      </c>
      <c r="G290" t="s">
        <v>404</v>
      </c>
    </row>
    <row r="291" spans="1:7" ht="27" thickTop="1" thickBot="1" x14ac:dyDescent="0.4">
      <c r="A291" s="120"/>
      <c r="B291" s="78"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4"/>
      <c r="D291" s="2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t="s">
        <v>526</v>
      </c>
      <c r="G291" t="s">
        <v>404</v>
      </c>
    </row>
    <row r="292" spans="1:7" ht="27" thickTop="1" thickBot="1" x14ac:dyDescent="0.4">
      <c r="A292" s="120"/>
      <c r="B292" s="51"/>
      <c r="C292" s="74"/>
      <c r="F292" t="s">
        <v>404</v>
      </c>
      <c r="G292" t="s">
        <v>404</v>
      </c>
    </row>
    <row r="293" spans="1:7" ht="27" thickTop="1" thickBot="1" x14ac:dyDescent="0.4">
      <c r="A293" s="120"/>
      <c r="B293" s="12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3"/>
      <c r="D293" s="23" t="str">
        <f>IF(OR(B294="Please select 'Yes' or 'No' from the drop down list",B294="Please select 'I confirm' or 'I do not confirm' from the drop down list"),"E","")</f>
        <v/>
      </c>
      <c r="E293" s="23" t="str">
        <f>IF(B293="Is another domestic provider required?","E",IF(B293="Please confirm that the details entered into the Entry Form are correct","B",""))</f>
        <v/>
      </c>
      <c r="F293" t="s">
        <v>526</v>
      </c>
      <c r="G293" t="s">
        <v>521</v>
      </c>
    </row>
    <row r="294" spans="1:7" ht="27" thickTop="1" thickBot="1" x14ac:dyDescent="0.4">
      <c r="A294" s="124" t="str">
        <f>IF(AND(B294="Choose provider from the list",C293="Yes"),"Domestic Provider "&amp;(ROW()-ROW(A$154))/5,"")</f>
        <v/>
      </c>
      <c r="B294" s="78"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130"/>
      <c r="D294" s="2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23" t="str">
        <f>IF(B294="Choose provider from the list","H","")</f>
        <v/>
      </c>
      <c r="F294" t="s">
        <v>526</v>
      </c>
      <c r="G294" t="s">
        <v>524</v>
      </c>
    </row>
    <row r="295" spans="1:7" ht="27" thickTop="1" thickBot="1" x14ac:dyDescent="0.4">
      <c r="A295" s="120"/>
      <c r="B295" s="78" t="str">
        <f>IF(B294&lt;&gt;"Choose provider from the list","",IF(C294&lt;&gt;"PROVIDER NOT LISTED","","Type provider name manually"))</f>
        <v/>
      </c>
      <c r="C295" s="130"/>
      <c r="D295" s="2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t="s">
        <v>526</v>
      </c>
      <c r="G295" t="s">
        <v>404</v>
      </c>
    </row>
    <row r="296" spans="1:7" ht="27" thickTop="1" thickBot="1" x14ac:dyDescent="0.4">
      <c r="A296" s="120"/>
      <c r="B296" s="78"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4"/>
      <c r="D296" s="2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t="s">
        <v>526</v>
      </c>
      <c r="G296" t="s">
        <v>404</v>
      </c>
    </row>
    <row r="297" spans="1:7" ht="27" thickTop="1" thickBot="1" x14ac:dyDescent="0.4">
      <c r="A297" s="120"/>
      <c r="B297" s="51"/>
      <c r="C297" s="74"/>
      <c r="F297" t="s">
        <v>404</v>
      </c>
      <c r="G297" t="s">
        <v>404</v>
      </c>
    </row>
    <row r="298" spans="1:7" ht="27" thickTop="1" thickBot="1" x14ac:dyDescent="0.4">
      <c r="A298" s="120"/>
      <c r="B298" s="12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3"/>
      <c r="D298" s="23" t="str">
        <f>IF(OR(B299="Please select 'Yes' or 'No' from the drop down list",B299="Please select 'I confirm' or 'I do not confirm' from the drop down list"),"E","")</f>
        <v/>
      </c>
      <c r="E298" s="23" t="str">
        <f>IF(B298="Is another domestic provider required?","E",IF(B298="Please confirm that the details entered into the Entry Form are correct","B",""))</f>
        <v/>
      </c>
      <c r="F298" t="s">
        <v>526</v>
      </c>
      <c r="G298" t="s">
        <v>521</v>
      </c>
    </row>
    <row r="299" spans="1:7" ht="27" thickTop="1" thickBot="1" x14ac:dyDescent="0.4">
      <c r="A299" s="124" t="str">
        <f>IF(AND(B299="Choose provider from the list",C298="Yes"),"Domestic Provider "&amp;(ROW()-ROW(A$154))/5,"")</f>
        <v/>
      </c>
      <c r="B299" s="78"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130"/>
      <c r="D299" s="2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23" t="str">
        <f>IF(B299="Choose provider from the list","H","")</f>
        <v/>
      </c>
      <c r="F299" t="s">
        <v>526</v>
      </c>
      <c r="G299" t="s">
        <v>524</v>
      </c>
    </row>
    <row r="300" spans="1:7" ht="27" thickTop="1" thickBot="1" x14ac:dyDescent="0.4">
      <c r="A300" s="120"/>
      <c r="B300" s="78" t="str">
        <f>IF(B299&lt;&gt;"Choose provider from the list","",IF(C299&lt;&gt;"PROVIDER NOT LISTED","","Type provider name manually"))</f>
        <v/>
      </c>
      <c r="C300" s="130"/>
      <c r="D300" s="2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t="s">
        <v>526</v>
      </c>
      <c r="G300" t="s">
        <v>404</v>
      </c>
    </row>
    <row r="301" spans="1:7" ht="27" thickTop="1" thickBot="1" x14ac:dyDescent="0.4">
      <c r="A301" s="120"/>
      <c r="B301" s="78"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4"/>
      <c r="D301" s="2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t="s">
        <v>526</v>
      </c>
      <c r="G301" t="s">
        <v>404</v>
      </c>
    </row>
    <row r="302" spans="1:7" ht="27" thickTop="1" thickBot="1" x14ac:dyDescent="0.4">
      <c r="A302" s="120"/>
      <c r="B302" s="51"/>
      <c r="C302" s="74"/>
      <c r="F302" t="s">
        <v>404</v>
      </c>
      <c r="G302" t="s">
        <v>404</v>
      </c>
    </row>
    <row r="303" spans="1:7" ht="27" thickTop="1" thickBot="1" x14ac:dyDescent="0.4">
      <c r="A303" s="120"/>
      <c r="B303" s="12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3"/>
      <c r="D303" s="23" t="str">
        <f>IF(OR(B304="Please select 'Yes' or 'No' from the drop down list",B304="Please select 'I confirm' or 'I do not confirm' from the drop down list"),"E","")</f>
        <v/>
      </c>
      <c r="E303" s="23" t="str">
        <f>IF(B303="Is another domestic provider required?","E",IF(B303="Please confirm that the details entered into the Entry Form are correct","B",""))</f>
        <v/>
      </c>
      <c r="F303" t="s">
        <v>526</v>
      </c>
      <c r="G303" t="s">
        <v>521</v>
      </c>
    </row>
    <row r="304" spans="1:7" ht="27" thickTop="1" thickBot="1" x14ac:dyDescent="0.4">
      <c r="A304" s="124" t="str">
        <f>IF(AND(B304="Choose provider from the list",C303="Yes"),"Domestic Provider "&amp;(ROW()-ROW(A$154))/5,"")</f>
        <v/>
      </c>
      <c r="B304" s="78"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130"/>
      <c r="D304" s="2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23" t="str">
        <f>IF(B304="Choose provider from the list","H","")</f>
        <v/>
      </c>
      <c r="F304" t="s">
        <v>526</v>
      </c>
      <c r="G304" t="s">
        <v>524</v>
      </c>
    </row>
    <row r="305" spans="1:7" ht="27" thickTop="1" thickBot="1" x14ac:dyDescent="0.4">
      <c r="A305" s="120"/>
      <c r="B305" s="78" t="str">
        <f>IF(B304&lt;&gt;"Choose provider from the list","",IF(C304&lt;&gt;"PROVIDER NOT LISTED","","Type provider name manually"))</f>
        <v/>
      </c>
      <c r="C305" s="130"/>
      <c r="D305" s="2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t="s">
        <v>526</v>
      </c>
      <c r="G305" t="s">
        <v>404</v>
      </c>
    </row>
    <row r="306" spans="1:7" ht="27" thickTop="1" thickBot="1" x14ac:dyDescent="0.4">
      <c r="A306" s="120"/>
      <c r="B306" s="78"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4"/>
      <c r="D306" s="2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t="s">
        <v>526</v>
      </c>
      <c r="G306" t="s">
        <v>404</v>
      </c>
    </row>
    <row r="307" spans="1:7" ht="27" thickTop="1" thickBot="1" x14ac:dyDescent="0.4">
      <c r="A307" s="120"/>
      <c r="B307" s="51"/>
      <c r="C307" s="74"/>
      <c r="F307" t="s">
        <v>404</v>
      </c>
      <c r="G307" t="s">
        <v>404</v>
      </c>
    </row>
    <row r="308" spans="1:7" ht="27" thickTop="1" thickBot="1" x14ac:dyDescent="0.4">
      <c r="A308" s="120"/>
      <c r="B308" s="12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3"/>
      <c r="D308" s="23" t="str">
        <f>IF(OR(B309="Please select 'Yes' or 'No' from the drop down list",B309="Please select 'I confirm' or 'I do not confirm' from the drop down list"),"E","")</f>
        <v/>
      </c>
      <c r="E308" s="23" t="str">
        <f>IF(B308="Is another domestic provider required?","E",IF(B308="Please confirm that the details entered into the Entry Form are correct","B",""))</f>
        <v/>
      </c>
      <c r="F308" t="s">
        <v>526</v>
      </c>
      <c r="G308" t="s">
        <v>521</v>
      </c>
    </row>
    <row r="309" spans="1:7" ht="27" thickTop="1" thickBot="1" x14ac:dyDescent="0.4">
      <c r="A309" s="124" t="str">
        <f>IF(AND(B309="Choose provider from the list",C308="Yes"),"Domestic Provider "&amp;(ROW()-ROW(A$154))/5,"")</f>
        <v/>
      </c>
      <c r="B309" s="78"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130"/>
      <c r="D309" s="2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23" t="str">
        <f>IF(B309="Choose provider from the list","H","")</f>
        <v/>
      </c>
      <c r="F309" t="s">
        <v>526</v>
      </c>
      <c r="G309" t="s">
        <v>524</v>
      </c>
    </row>
    <row r="310" spans="1:7" ht="27" thickTop="1" thickBot="1" x14ac:dyDescent="0.4">
      <c r="A310" s="120"/>
      <c r="B310" s="78" t="str">
        <f>IF(B309&lt;&gt;"Choose provider from the list","",IF(C309&lt;&gt;"PROVIDER NOT LISTED","","Type provider name manually"))</f>
        <v/>
      </c>
      <c r="C310" s="130"/>
      <c r="D310" s="2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t="s">
        <v>526</v>
      </c>
      <c r="G310" t="s">
        <v>404</v>
      </c>
    </row>
    <row r="311" spans="1:7" ht="27" thickTop="1" thickBot="1" x14ac:dyDescent="0.4">
      <c r="A311" s="120"/>
      <c r="B311" s="78"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4"/>
      <c r="D311" s="2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t="s">
        <v>526</v>
      </c>
      <c r="G311" t="s">
        <v>404</v>
      </c>
    </row>
    <row r="312" spans="1:7" ht="27" thickTop="1" thickBot="1" x14ac:dyDescent="0.4">
      <c r="A312" s="120"/>
      <c r="B312" s="51"/>
      <c r="C312" s="74"/>
      <c r="F312" t="s">
        <v>404</v>
      </c>
      <c r="G312" t="s">
        <v>404</v>
      </c>
    </row>
    <row r="313" spans="1:7" ht="27" thickTop="1" thickBot="1" x14ac:dyDescent="0.4">
      <c r="A313" s="120"/>
      <c r="B313" s="12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3"/>
      <c r="D313" s="23" t="str">
        <f>IF(OR(B314="Please select 'Yes' or 'No' from the drop down list",B314="Please select 'I confirm' or 'I do not confirm' from the drop down list"),"E","")</f>
        <v/>
      </c>
      <c r="E313" s="23" t="str">
        <f>IF(B313="Is another domestic provider required?","E",IF(B313="Please confirm that the details entered into the Entry Form are correct","B",""))</f>
        <v/>
      </c>
      <c r="F313" t="s">
        <v>526</v>
      </c>
      <c r="G313" t="s">
        <v>521</v>
      </c>
    </row>
    <row r="314" spans="1:7" ht="27" thickTop="1" thickBot="1" x14ac:dyDescent="0.4">
      <c r="A314" s="124" t="str">
        <f>IF(AND(B314="Choose provider from the list",C313="Yes"),"Domestic Provider "&amp;(ROW()-ROW(A$154))/5,"")</f>
        <v/>
      </c>
      <c r="B314" s="78"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130"/>
      <c r="D314" s="2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23" t="str">
        <f>IF(B314="Choose provider from the list","H","")</f>
        <v/>
      </c>
      <c r="F314" t="s">
        <v>526</v>
      </c>
      <c r="G314" t="s">
        <v>524</v>
      </c>
    </row>
    <row r="315" spans="1:7" ht="27" thickTop="1" thickBot="1" x14ac:dyDescent="0.4">
      <c r="A315" s="120"/>
      <c r="B315" s="78" t="str">
        <f>IF(B314&lt;&gt;"Choose provider from the list","",IF(C314&lt;&gt;"PROVIDER NOT LISTED","","Type provider name manually"))</f>
        <v/>
      </c>
      <c r="C315" s="130"/>
      <c r="D315" s="2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t="s">
        <v>526</v>
      </c>
      <c r="G315" t="s">
        <v>404</v>
      </c>
    </row>
    <row r="316" spans="1:7" ht="27" thickTop="1" thickBot="1" x14ac:dyDescent="0.4">
      <c r="A316" s="120"/>
      <c r="B316" s="78"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4"/>
      <c r="D316" s="2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t="s">
        <v>526</v>
      </c>
      <c r="G316" t="s">
        <v>404</v>
      </c>
    </row>
    <row r="317" spans="1:7" ht="27" thickTop="1" thickBot="1" x14ac:dyDescent="0.4">
      <c r="A317" s="120"/>
      <c r="B317" s="51"/>
      <c r="C317" s="74"/>
      <c r="F317" t="s">
        <v>404</v>
      </c>
      <c r="G317" t="s">
        <v>404</v>
      </c>
    </row>
    <row r="318" spans="1:7" ht="27" thickTop="1" thickBot="1" x14ac:dyDescent="0.4">
      <c r="A318" s="120"/>
      <c r="B318" s="12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3"/>
      <c r="D318" s="23" t="str">
        <f>IF(OR(B319="Please select 'Yes' or 'No' from the drop down list",B319="Please select 'I confirm' or 'I do not confirm' from the drop down list"),"E","")</f>
        <v/>
      </c>
      <c r="E318" s="23" t="str">
        <f>IF(B318="Is another domestic provider required?","E",IF(B318="Please confirm that the details entered into the Entry Form are correct","B",""))</f>
        <v/>
      </c>
      <c r="F318" t="s">
        <v>526</v>
      </c>
      <c r="G318" t="s">
        <v>521</v>
      </c>
    </row>
    <row r="319" spans="1:7" ht="27" thickTop="1" thickBot="1" x14ac:dyDescent="0.4">
      <c r="A319" s="124" t="str">
        <f>IF(AND(B319="Choose provider from the list",C318="Yes"),"Domestic Provider "&amp;(ROW()-ROW(A$154))/5,"")</f>
        <v/>
      </c>
      <c r="B319" s="78"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130"/>
      <c r="D319" s="2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23" t="str">
        <f>IF(B319="Choose provider from the list","H","")</f>
        <v/>
      </c>
      <c r="F319" t="s">
        <v>526</v>
      </c>
      <c r="G319" t="s">
        <v>524</v>
      </c>
    </row>
    <row r="320" spans="1:7" ht="27" thickTop="1" thickBot="1" x14ac:dyDescent="0.4">
      <c r="A320" s="120"/>
      <c r="B320" s="78" t="str">
        <f>IF(B319&lt;&gt;"Choose provider from the list","",IF(C319&lt;&gt;"PROVIDER NOT LISTED","","Type provider name manually"))</f>
        <v/>
      </c>
      <c r="C320" s="130"/>
      <c r="D320" s="2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t="s">
        <v>526</v>
      </c>
      <c r="G320" t="s">
        <v>404</v>
      </c>
    </row>
    <row r="321" spans="1:7" ht="27" thickTop="1" thickBot="1" x14ac:dyDescent="0.4">
      <c r="A321" s="120"/>
      <c r="B321" s="78"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4"/>
      <c r="D321" s="2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t="s">
        <v>526</v>
      </c>
      <c r="G321" t="s">
        <v>404</v>
      </c>
    </row>
    <row r="322" spans="1:7" ht="27" thickTop="1" thickBot="1" x14ac:dyDescent="0.4">
      <c r="A322" s="120"/>
      <c r="B322" s="51"/>
      <c r="C322" s="74"/>
      <c r="F322" t="s">
        <v>404</v>
      </c>
      <c r="G322" t="s">
        <v>404</v>
      </c>
    </row>
    <row r="323" spans="1:7" ht="27" thickTop="1" thickBot="1" x14ac:dyDescent="0.4">
      <c r="A323" s="120"/>
      <c r="B323" s="12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3"/>
      <c r="D323" s="23" t="str">
        <f>IF(OR(B324="Please select 'Yes' or 'No' from the drop down list",B324="Please select 'I confirm' or 'I do not confirm' from the drop down list"),"E","")</f>
        <v/>
      </c>
      <c r="E323" s="23" t="str">
        <f>IF(B323="Is another domestic provider required?","E",IF(B323="Please confirm that the details entered into the Entry Form are correct","B",""))</f>
        <v/>
      </c>
      <c r="F323" t="s">
        <v>526</v>
      </c>
      <c r="G323" t="s">
        <v>521</v>
      </c>
    </row>
    <row r="324" spans="1:7" ht="27" thickTop="1" thickBot="1" x14ac:dyDescent="0.4">
      <c r="A324" s="124" t="str">
        <f>IF(AND(B324="Choose provider from the list",C323="Yes"),"Domestic Provider "&amp;(ROW()-ROW(A$154))/5,"")</f>
        <v/>
      </c>
      <c r="B324" s="78"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130"/>
      <c r="D324" s="2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23" t="str">
        <f>IF(B324="Choose provider from the list","H","")</f>
        <v/>
      </c>
      <c r="F324" t="s">
        <v>526</v>
      </c>
      <c r="G324" t="s">
        <v>524</v>
      </c>
    </row>
    <row r="325" spans="1:7" ht="27" thickTop="1" thickBot="1" x14ac:dyDescent="0.4">
      <c r="A325" s="120"/>
      <c r="B325" s="78" t="str">
        <f>IF(B324&lt;&gt;"Choose provider from the list","",IF(C324&lt;&gt;"PROVIDER NOT LISTED","","Type provider name manually"))</f>
        <v/>
      </c>
      <c r="C325" s="130"/>
      <c r="D325" s="2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t="s">
        <v>526</v>
      </c>
      <c r="G325" t="s">
        <v>404</v>
      </c>
    </row>
    <row r="326" spans="1:7" ht="27" thickTop="1" thickBot="1" x14ac:dyDescent="0.4">
      <c r="A326" s="120"/>
      <c r="B326" s="78"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4"/>
      <c r="D326" s="2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t="s">
        <v>526</v>
      </c>
      <c r="G326" t="s">
        <v>404</v>
      </c>
    </row>
    <row r="327" spans="1:7" ht="27" thickTop="1" thickBot="1" x14ac:dyDescent="0.4">
      <c r="A327" s="120"/>
      <c r="B327" s="51"/>
      <c r="C327" s="74"/>
      <c r="F327" t="s">
        <v>404</v>
      </c>
      <c r="G327" t="s">
        <v>404</v>
      </c>
    </row>
    <row r="328" spans="1:7" ht="27" thickTop="1" thickBot="1" x14ac:dyDescent="0.4">
      <c r="A328" s="120"/>
      <c r="B328" s="12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3"/>
      <c r="D328" s="23" t="str">
        <f>IF(OR(B329="Please select 'Yes' or 'No' from the drop down list",B329="Please select 'I confirm' or 'I do not confirm' from the drop down list"),"E","")</f>
        <v/>
      </c>
      <c r="E328" s="23" t="str">
        <f>IF(B328="Is another domestic provider required?","E",IF(B328="Please confirm that the details entered into the Entry Form are correct","B",""))</f>
        <v/>
      </c>
      <c r="F328" t="s">
        <v>526</v>
      </c>
      <c r="G328" t="s">
        <v>521</v>
      </c>
    </row>
    <row r="329" spans="1:7" ht="27" thickTop="1" thickBot="1" x14ac:dyDescent="0.4">
      <c r="A329" s="124" t="str">
        <f>IF(AND(B329="Choose provider from the list",C328="Yes"),"Domestic Provider "&amp;(ROW()-ROW(A$154))/5,"")</f>
        <v/>
      </c>
      <c r="B329" s="78"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130"/>
      <c r="D329" s="2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23" t="str">
        <f>IF(B329="Choose provider from the list","H","")</f>
        <v/>
      </c>
      <c r="F329" t="s">
        <v>526</v>
      </c>
      <c r="G329" t="s">
        <v>524</v>
      </c>
    </row>
    <row r="330" spans="1:7" ht="27" thickTop="1" thickBot="1" x14ac:dyDescent="0.4">
      <c r="A330" s="120"/>
      <c r="B330" s="78" t="str">
        <f>IF(B329&lt;&gt;"Choose provider from the list","",IF(C329&lt;&gt;"PROVIDER NOT LISTED","","Type provider name manually"))</f>
        <v/>
      </c>
      <c r="C330" s="130"/>
      <c r="D330" s="2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t="s">
        <v>526</v>
      </c>
      <c r="G330" t="s">
        <v>404</v>
      </c>
    </row>
    <row r="331" spans="1:7" ht="27" thickTop="1" thickBot="1" x14ac:dyDescent="0.4">
      <c r="A331" s="120"/>
      <c r="B331" s="78"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4"/>
      <c r="D331" s="2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t="s">
        <v>526</v>
      </c>
      <c r="G331" t="s">
        <v>404</v>
      </c>
    </row>
    <row r="332" spans="1:7" ht="27" thickTop="1" thickBot="1" x14ac:dyDescent="0.4">
      <c r="A332" s="120"/>
      <c r="B332" s="51"/>
      <c r="C332" s="74"/>
      <c r="F332" t="s">
        <v>404</v>
      </c>
      <c r="G332" t="s">
        <v>404</v>
      </c>
    </row>
    <row r="333" spans="1:7" ht="27" thickTop="1" thickBot="1" x14ac:dyDescent="0.4">
      <c r="A333" s="120"/>
      <c r="B333" s="12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3"/>
      <c r="D333" s="23" t="str">
        <f>IF(OR(B334="Please select 'Yes' or 'No' from the drop down list",B334="Please select 'I confirm' or 'I do not confirm' from the drop down list"),"E","")</f>
        <v/>
      </c>
      <c r="E333" s="23" t="str">
        <f>IF(B333="Is another domestic provider required?","E",IF(B333="Please confirm that the details entered into the Entry Form are correct","B",""))</f>
        <v/>
      </c>
      <c r="F333" t="s">
        <v>526</v>
      </c>
      <c r="G333" t="s">
        <v>521</v>
      </c>
    </row>
    <row r="334" spans="1:7" ht="27" thickTop="1" thickBot="1" x14ac:dyDescent="0.4">
      <c r="A334" s="124" t="str">
        <f>IF(AND(B334="Choose provider from the list",C333="Yes"),"Domestic Provider "&amp;(ROW()-ROW(A$154))/5,"")</f>
        <v/>
      </c>
      <c r="B334" s="78"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130"/>
      <c r="D334" s="2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23" t="str">
        <f>IF(B334="Choose provider from the list","H","")</f>
        <v/>
      </c>
      <c r="F334" t="s">
        <v>526</v>
      </c>
      <c r="G334" t="s">
        <v>524</v>
      </c>
    </row>
    <row r="335" spans="1:7" ht="27" thickTop="1" thickBot="1" x14ac:dyDescent="0.4">
      <c r="A335" s="120"/>
      <c r="B335" s="78" t="str">
        <f>IF(B334&lt;&gt;"Choose provider from the list","",IF(C334&lt;&gt;"PROVIDER NOT LISTED","","Type provider name manually"))</f>
        <v/>
      </c>
      <c r="C335" s="130"/>
      <c r="D335" s="2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t="s">
        <v>526</v>
      </c>
      <c r="G335" t="s">
        <v>404</v>
      </c>
    </row>
    <row r="336" spans="1:7" ht="27" thickTop="1" thickBot="1" x14ac:dyDescent="0.4">
      <c r="A336" s="120"/>
      <c r="B336" s="78"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4"/>
      <c r="D336" s="2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t="s">
        <v>526</v>
      </c>
      <c r="G336" t="s">
        <v>404</v>
      </c>
    </row>
    <row r="337" spans="1:7" ht="27" thickTop="1" thickBot="1" x14ac:dyDescent="0.4">
      <c r="A337" s="120"/>
      <c r="B337" s="51"/>
      <c r="C337" s="74"/>
      <c r="F337" t="s">
        <v>404</v>
      </c>
      <c r="G337" t="s">
        <v>404</v>
      </c>
    </row>
    <row r="338" spans="1:7" ht="27" thickTop="1" thickBot="1" x14ac:dyDescent="0.4">
      <c r="A338" s="120"/>
      <c r="B338" s="12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3"/>
      <c r="D338" s="23" t="str">
        <f>IF(OR(B339="Please select 'Yes' or 'No' from the drop down list",B339="Please select 'I confirm' or 'I do not confirm' from the drop down list"),"E","")</f>
        <v/>
      </c>
      <c r="E338" s="23" t="str">
        <f>IF(B338="Is another domestic provider required?","E",IF(B338="Please confirm that the details entered into the Entry Form are correct","B",""))</f>
        <v/>
      </c>
      <c r="F338" t="s">
        <v>526</v>
      </c>
      <c r="G338" t="s">
        <v>521</v>
      </c>
    </row>
    <row r="339" spans="1:7" ht="27" thickTop="1" thickBot="1" x14ac:dyDescent="0.4">
      <c r="A339" s="124" t="str">
        <f>IF(AND(B339="Choose provider from the list",C338="Yes"),"Domestic Provider "&amp;(ROW()-ROW(A$154))/5,"")</f>
        <v/>
      </c>
      <c r="B339" s="78"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130"/>
      <c r="D339" s="2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23" t="str">
        <f>IF(B339="Choose provider from the list","H","")</f>
        <v/>
      </c>
      <c r="F339" t="s">
        <v>526</v>
      </c>
      <c r="G339" t="s">
        <v>524</v>
      </c>
    </row>
    <row r="340" spans="1:7" ht="27" thickTop="1" thickBot="1" x14ac:dyDescent="0.4">
      <c r="A340" s="120"/>
      <c r="B340" s="78" t="str">
        <f>IF(B339&lt;&gt;"Choose provider from the list","",IF(C339&lt;&gt;"PROVIDER NOT LISTED","","Type provider name manually"))</f>
        <v/>
      </c>
      <c r="C340" s="130"/>
      <c r="D340" s="2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t="s">
        <v>526</v>
      </c>
      <c r="G340" t="s">
        <v>404</v>
      </c>
    </row>
    <row r="341" spans="1:7" ht="27" thickTop="1" thickBot="1" x14ac:dyDescent="0.4">
      <c r="A341" s="120"/>
      <c r="B341" s="78"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4"/>
      <c r="D341" s="2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t="s">
        <v>526</v>
      </c>
      <c r="G341" t="s">
        <v>404</v>
      </c>
    </row>
    <row r="342" spans="1:7" ht="27" thickTop="1" thickBot="1" x14ac:dyDescent="0.4">
      <c r="A342" s="120"/>
      <c r="B342" s="51"/>
      <c r="C342" s="74"/>
      <c r="F342" t="s">
        <v>404</v>
      </c>
      <c r="G342" t="s">
        <v>404</v>
      </c>
    </row>
    <row r="343" spans="1:7" ht="27" thickTop="1" thickBot="1" x14ac:dyDescent="0.4">
      <c r="A343" s="120"/>
      <c r="B343" s="12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3"/>
      <c r="D343" s="23" t="str">
        <f>IF(OR(B344="Please select 'Yes' or 'No' from the drop down list",B344="Please select 'I confirm' or 'I do not confirm' from the drop down list"),"E","")</f>
        <v/>
      </c>
      <c r="E343" s="23" t="str">
        <f>IF(B343="Is another domestic provider required?","E",IF(B343="Please confirm that the details entered into the Entry Form are correct","B",""))</f>
        <v/>
      </c>
      <c r="F343" t="s">
        <v>526</v>
      </c>
      <c r="G343" t="s">
        <v>521</v>
      </c>
    </row>
    <row r="344" spans="1:7" ht="27" thickTop="1" thickBot="1" x14ac:dyDescent="0.4">
      <c r="A344" s="124" t="str">
        <f>IF(AND(B344="Choose provider from the list",C343="Yes"),"Domestic Provider "&amp;(ROW()-ROW(A$154))/5,"")</f>
        <v/>
      </c>
      <c r="B344" s="78"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130"/>
      <c r="D344" s="2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23" t="str">
        <f>IF(B344="Choose provider from the list","H","")</f>
        <v/>
      </c>
      <c r="F344" t="s">
        <v>526</v>
      </c>
      <c r="G344" t="s">
        <v>524</v>
      </c>
    </row>
    <row r="345" spans="1:7" ht="27" thickTop="1" thickBot="1" x14ac:dyDescent="0.4">
      <c r="A345" s="120"/>
      <c r="B345" s="78" t="str">
        <f>IF(B344&lt;&gt;"Choose provider from the list","",IF(C344&lt;&gt;"PROVIDER NOT LISTED","","Type provider name manually"))</f>
        <v/>
      </c>
      <c r="C345" s="130"/>
      <c r="D345" s="2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t="s">
        <v>526</v>
      </c>
      <c r="G345" t="s">
        <v>404</v>
      </c>
    </row>
    <row r="346" spans="1:7" ht="27" thickTop="1" thickBot="1" x14ac:dyDescent="0.4">
      <c r="A346" s="120"/>
      <c r="B346" s="78"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4"/>
      <c r="D346" s="2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t="s">
        <v>526</v>
      </c>
      <c r="G346" t="s">
        <v>404</v>
      </c>
    </row>
    <row r="347" spans="1:7" ht="27" thickTop="1" thickBot="1" x14ac:dyDescent="0.4">
      <c r="A347" s="120"/>
      <c r="B347" s="51"/>
      <c r="C347" s="74"/>
      <c r="F347" t="s">
        <v>404</v>
      </c>
      <c r="G347" t="s">
        <v>404</v>
      </c>
    </row>
    <row r="348" spans="1:7" ht="27" thickTop="1" thickBot="1" x14ac:dyDescent="0.4">
      <c r="A348" s="120"/>
      <c r="B348" s="12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3"/>
      <c r="D348" s="23" t="str">
        <f>IF(OR(B349="Please select 'Yes' or 'No' from the drop down list",B349="Please select 'I confirm' or 'I do not confirm' from the drop down list"),"E","")</f>
        <v/>
      </c>
      <c r="E348" s="23" t="str">
        <f>IF(B348="Is another domestic provider required?","E",IF(B348="Please confirm that the details entered into the Entry Form are correct","B",""))</f>
        <v/>
      </c>
      <c r="F348" t="s">
        <v>526</v>
      </c>
      <c r="G348" t="s">
        <v>521</v>
      </c>
    </row>
    <row r="349" spans="1:7" ht="27" thickTop="1" thickBot="1" x14ac:dyDescent="0.4">
      <c r="A349" s="124" t="str">
        <f>IF(AND(B349="Choose provider from the list",C348="Yes"),"Domestic Provider "&amp;(ROW()-ROW(A$154))/5,"")</f>
        <v/>
      </c>
      <c r="B349" s="78"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130"/>
      <c r="D349" s="2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23" t="str">
        <f>IF(B349="Choose provider from the list","H","")</f>
        <v/>
      </c>
      <c r="F349" t="s">
        <v>526</v>
      </c>
      <c r="G349" t="s">
        <v>524</v>
      </c>
    </row>
    <row r="350" spans="1:7" ht="27" thickTop="1" thickBot="1" x14ac:dyDescent="0.4">
      <c r="A350" s="120"/>
      <c r="B350" s="78" t="str">
        <f>IF(B349&lt;&gt;"Choose provider from the list","",IF(C349&lt;&gt;"PROVIDER NOT LISTED","","Type provider name manually"))</f>
        <v/>
      </c>
      <c r="C350" s="130"/>
      <c r="D350" s="2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t="s">
        <v>526</v>
      </c>
      <c r="G350" t="s">
        <v>404</v>
      </c>
    </row>
    <row r="351" spans="1:7" ht="27" thickTop="1" thickBot="1" x14ac:dyDescent="0.4">
      <c r="A351" s="120"/>
      <c r="B351" s="78"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4"/>
      <c r="D351" s="2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t="s">
        <v>526</v>
      </c>
      <c r="G351" t="s">
        <v>404</v>
      </c>
    </row>
    <row r="352" spans="1:7" ht="27" thickTop="1" thickBot="1" x14ac:dyDescent="0.4">
      <c r="A352" s="120"/>
      <c r="B352" s="51"/>
      <c r="C352" s="74"/>
      <c r="F352" t="s">
        <v>404</v>
      </c>
      <c r="G352" t="s">
        <v>404</v>
      </c>
    </row>
    <row r="353" spans="1:7" ht="27" thickTop="1" thickBot="1" x14ac:dyDescent="0.4">
      <c r="A353" s="120"/>
      <c r="B353" s="12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3"/>
      <c r="D353" s="23" t="str">
        <f>IF(OR(B354="Please select 'Yes' or 'No' from the drop down list",B354="Please select 'I confirm' or 'I do not confirm' from the drop down list"),"E","")</f>
        <v/>
      </c>
      <c r="E353" s="23" t="str">
        <f>IF(B353="Is another domestic provider required?","E",IF(B353="Please confirm that the details entered into the Entry Form are correct","B",""))</f>
        <v/>
      </c>
      <c r="F353" t="s">
        <v>526</v>
      </c>
      <c r="G353" t="s">
        <v>521</v>
      </c>
    </row>
    <row r="354" spans="1:7" ht="27" thickTop="1" thickBot="1" x14ac:dyDescent="0.4">
      <c r="A354" s="124" t="str">
        <f>IF(AND(B354="Choose provider from the list",C353="Yes"),"Domestic Provider "&amp;(ROW()-ROW(A$154))/5,"")</f>
        <v/>
      </c>
      <c r="B354" s="78"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130"/>
      <c r="D354" s="2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23" t="str">
        <f>IF(B354="Choose provider from the list","H","")</f>
        <v/>
      </c>
      <c r="F354" t="s">
        <v>526</v>
      </c>
      <c r="G354" t="s">
        <v>524</v>
      </c>
    </row>
    <row r="355" spans="1:7" ht="27" thickTop="1" thickBot="1" x14ac:dyDescent="0.4">
      <c r="A355" s="120"/>
      <c r="B355" s="78" t="str">
        <f>IF(B354&lt;&gt;"Choose provider from the list","",IF(C354&lt;&gt;"PROVIDER NOT LISTED","","Type provider name manually"))</f>
        <v/>
      </c>
      <c r="C355" s="130"/>
      <c r="D355" s="2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t="s">
        <v>526</v>
      </c>
      <c r="G355" t="s">
        <v>404</v>
      </c>
    </row>
    <row r="356" spans="1:7" ht="27" thickTop="1" thickBot="1" x14ac:dyDescent="0.4">
      <c r="A356" s="120"/>
      <c r="B356" s="78"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4"/>
      <c r="D356" s="2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t="s">
        <v>526</v>
      </c>
      <c r="G356" t="s">
        <v>404</v>
      </c>
    </row>
    <row r="357" spans="1:7" ht="27" thickTop="1" thickBot="1" x14ac:dyDescent="0.4">
      <c r="A357" s="120"/>
      <c r="B357" s="51"/>
      <c r="C357" s="74"/>
      <c r="F357" t="s">
        <v>404</v>
      </c>
      <c r="G357" t="s">
        <v>404</v>
      </c>
    </row>
    <row r="358" spans="1:7" ht="27" thickTop="1" thickBot="1" x14ac:dyDescent="0.4">
      <c r="A358" s="120"/>
      <c r="B358" s="12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3"/>
      <c r="D358" s="23" t="str">
        <f>IF(OR(B359="Please select 'Yes' or 'No' from the drop down list",B359="Please select 'I confirm' or 'I do not confirm' from the drop down list"),"E","")</f>
        <v/>
      </c>
      <c r="E358" s="23" t="str">
        <f>IF(B358="Is another domestic provider required?","E",IF(B358="Please confirm that the details entered into the Entry Form are correct","B",""))</f>
        <v/>
      </c>
      <c r="F358" t="s">
        <v>526</v>
      </c>
      <c r="G358" t="s">
        <v>521</v>
      </c>
    </row>
    <row r="359" spans="1:7" ht="27" thickTop="1" thickBot="1" x14ac:dyDescent="0.4">
      <c r="A359" s="124" t="str">
        <f>IF(AND(B359="Choose provider from the list",C358="Yes"),"Domestic Provider "&amp;(ROW()-ROW(A$154))/5,"")</f>
        <v/>
      </c>
      <c r="B359" s="78"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130"/>
      <c r="D359" s="2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23" t="str">
        <f>IF(B359="Choose provider from the list","H","")</f>
        <v/>
      </c>
      <c r="F359" t="s">
        <v>526</v>
      </c>
      <c r="G359" t="s">
        <v>524</v>
      </c>
    </row>
    <row r="360" spans="1:7" ht="27" thickTop="1" thickBot="1" x14ac:dyDescent="0.4">
      <c r="A360" s="120"/>
      <c r="B360" s="78" t="str">
        <f>IF(B359&lt;&gt;"Choose provider from the list","",IF(C359&lt;&gt;"PROVIDER NOT LISTED","","Type provider name manually"))</f>
        <v/>
      </c>
      <c r="C360" s="130"/>
      <c r="D360" s="2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t="s">
        <v>526</v>
      </c>
      <c r="G360" t="s">
        <v>404</v>
      </c>
    </row>
    <row r="361" spans="1:7" ht="27" thickTop="1" thickBot="1" x14ac:dyDescent="0.4">
      <c r="A361" s="120"/>
      <c r="B361" s="78"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4"/>
      <c r="D361" s="2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t="s">
        <v>526</v>
      </c>
      <c r="G361" t="s">
        <v>404</v>
      </c>
    </row>
    <row r="362" spans="1:7" ht="27" thickTop="1" thickBot="1" x14ac:dyDescent="0.4">
      <c r="A362" s="120"/>
      <c r="B362" s="51"/>
      <c r="C362" s="74"/>
      <c r="F362" t="s">
        <v>404</v>
      </c>
      <c r="G362" t="s">
        <v>404</v>
      </c>
    </row>
    <row r="363" spans="1:7" ht="27" thickTop="1" thickBot="1" x14ac:dyDescent="0.4">
      <c r="A363" s="120"/>
      <c r="B363" s="12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3"/>
      <c r="D363" s="23" t="str">
        <f>IF(OR(B364="Please select 'Yes' or 'No' from the drop down list",B364="Please select 'I confirm' or 'I do not confirm' from the drop down list"),"E","")</f>
        <v/>
      </c>
      <c r="E363" s="23" t="str">
        <f>IF(B363="Is another domestic provider required?","E",IF(B363="Please confirm that the details entered into the Entry Form are correct","B",""))</f>
        <v/>
      </c>
      <c r="F363" t="s">
        <v>526</v>
      </c>
      <c r="G363" t="s">
        <v>521</v>
      </c>
    </row>
    <row r="364" spans="1:7" ht="27" thickTop="1" thickBot="1" x14ac:dyDescent="0.4">
      <c r="A364" s="124" t="str">
        <f>IF(AND(B364="Choose provider from the list",C363="Yes"),"Domestic Provider "&amp;(ROW()-ROW(A$154))/5,"")</f>
        <v/>
      </c>
      <c r="B364" s="78"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130"/>
      <c r="D364" s="2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23" t="str">
        <f>IF(B364="Choose provider from the list","H","")</f>
        <v/>
      </c>
      <c r="F364" t="s">
        <v>526</v>
      </c>
      <c r="G364" t="s">
        <v>524</v>
      </c>
    </row>
    <row r="365" spans="1:7" ht="27" thickTop="1" thickBot="1" x14ac:dyDescent="0.4">
      <c r="A365" s="120"/>
      <c r="B365" s="78" t="str">
        <f>IF(B364&lt;&gt;"Choose provider from the list","",IF(C364&lt;&gt;"PROVIDER NOT LISTED","","Type provider name manually"))</f>
        <v/>
      </c>
      <c r="C365" s="130"/>
      <c r="D365" s="2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t="s">
        <v>526</v>
      </c>
      <c r="G365" t="s">
        <v>404</v>
      </c>
    </row>
    <row r="366" spans="1:7" ht="27" thickTop="1" thickBot="1" x14ac:dyDescent="0.4">
      <c r="A366" s="120"/>
      <c r="B366" s="78"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4"/>
      <c r="D366" s="2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t="s">
        <v>526</v>
      </c>
      <c r="G366" t="s">
        <v>404</v>
      </c>
    </row>
    <row r="367" spans="1:7" ht="27" thickTop="1" thickBot="1" x14ac:dyDescent="0.4">
      <c r="A367" s="120"/>
      <c r="B367" s="51"/>
      <c r="C367" s="74"/>
      <c r="F367" t="s">
        <v>404</v>
      </c>
      <c r="G367" t="s">
        <v>404</v>
      </c>
    </row>
    <row r="368" spans="1:7" ht="27" thickTop="1" thickBot="1" x14ac:dyDescent="0.4">
      <c r="A368" s="120"/>
      <c r="B368" s="12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3"/>
      <c r="D368" s="23" t="str">
        <f>IF(OR(B369="Please select 'Yes' or 'No' from the drop down list",B369="Please select 'I confirm' or 'I do not confirm' from the drop down list"),"E","")</f>
        <v/>
      </c>
      <c r="E368" s="23" t="str">
        <f>IF(B368="Is another domestic provider required?","E",IF(B368="Please confirm that the details entered into the Entry Form are correct","B",""))</f>
        <v/>
      </c>
      <c r="F368" t="s">
        <v>526</v>
      </c>
      <c r="G368" t="s">
        <v>521</v>
      </c>
    </row>
    <row r="369" spans="1:7" ht="27" thickTop="1" thickBot="1" x14ac:dyDescent="0.4">
      <c r="A369" s="124" t="str">
        <f>IF(AND(B369="Choose provider from the list",C368="Yes"),"Domestic Provider "&amp;(ROW()-ROW(A$154))/5,"")</f>
        <v/>
      </c>
      <c r="B369" s="78"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130"/>
      <c r="D369" s="2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23" t="str">
        <f>IF(B369="Choose provider from the list","H","")</f>
        <v/>
      </c>
      <c r="F369" t="s">
        <v>526</v>
      </c>
      <c r="G369" t="s">
        <v>524</v>
      </c>
    </row>
    <row r="370" spans="1:7" ht="27" thickTop="1" thickBot="1" x14ac:dyDescent="0.4">
      <c r="A370" s="120"/>
      <c r="B370" s="78" t="str">
        <f>IF(B369&lt;&gt;"Choose provider from the list","",IF(C369&lt;&gt;"PROVIDER NOT LISTED","","Type provider name manually"))</f>
        <v/>
      </c>
      <c r="C370" s="130"/>
      <c r="D370" s="2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t="s">
        <v>526</v>
      </c>
      <c r="G370" t="s">
        <v>404</v>
      </c>
    </row>
    <row r="371" spans="1:7" ht="27" thickTop="1" thickBot="1" x14ac:dyDescent="0.4">
      <c r="A371" s="120"/>
      <c r="B371" s="78"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4"/>
      <c r="D371" s="2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t="s">
        <v>526</v>
      </c>
      <c r="G371" t="s">
        <v>404</v>
      </c>
    </row>
    <row r="372" spans="1:7" ht="27" thickTop="1" thickBot="1" x14ac:dyDescent="0.4">
      <c r="A372" s="120"/>
      <c r="B372" s="51"/>
      <c r="C372" s="74"/>
      <c r="F372" t="s">
        <v>404</v>
      </c>
      <c r="G372" t="s">
        <v>404</v>
      </c>
    </row>
    <row r="373" spans="1:7" ht="27" thickTop="1" thickBot="1" x14ac:dyDescent="0.4">
      <c r="A373" s="120"/>
      <c r="B373" s="12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3"/>
      <c r="D373" s="23" t="str">
        <f>IF(OR(B374="Please select 'Yes' or 'No' from the drop down list",B374="Please select 'I confirm' or 'I do not confirm' from the drop down list"),"E","")</f>
        <v/>
      </c>
      <c r="E373" s="23" t="str">
        <f>IF(B373="Is another domestic provider required?","E",IF(B373="Please confirm that the details entered into the Entry Form are correct","B",""))</f>
        <v/>
      </c>
      <c r="F373" t="s">
        <v>526</v>
      </c>
      <c r="G373" t="s">
        <v>521</v>
      </c>
    </row>
    <row r="374" spans="1:7" ht="27" thickTop="1" thickBot="1" x14ac:dyDescent="0.4">
      <c r="A374" s="124" t="str">
        <f>IF(AND(B374="Choose provider from the list",C373="Yes"),"Domestic Provider "&amp;(ROW()-ROW(A$154))/5,"")</f>
        <v/>
      </c>
      <c r="B374" s="78"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130"/>
      <c r="D374" s="2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23" t="str">
        <f>IF(B374="Choose provider from the list","H","")</f>
        <v/>
      </c>
      <c r="F374" t="s">
        <v>526</v>
      </c>
      <c r="G374" t="s">
        <v>524</v>
      </c>
    </row>
    <row r="375" spans="1:7" ht="27" thickTop="1" thickBot="1" x14ac:dyDescent="0.4">
      <c r="A375" s="120"/>
      <c r="B375" s="78" t="str">
        <f>IF(B374&lt;&gt;"Choose provider from the list","",IF(C374&lt;&gt;"PROVIDER NOT LISTED","","Type provider name manually"))</f>
        <v/>
      </c>
      <c r="C375" s="130"/>
      <c r="D375" s="2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t="s">
        <v>526</v>
      </c>
      <c r="G375" t="s">
        <v>404</v>
      </c>
    </row>
    <row r="376" spans="1:7" ht="27" thickTop="1" thickBot="1" x14ac:dyDescent="0.4">
      <c r="A376" s="120"/>
      <c r="B376" s="78"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4"/>
      <c r="D376" s="2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t="s">
        <v>526</v>
      </c>
      <c r="G376" t="s">
        <v>404</v>
      </c>
    </row>
    <row r="377" spans="1:7" ht="27" thickTop="1" thickBot="1" x14ac:dyDescent="0.4">
      <c r="A377" s="120"/>
      <c r="B377" s="51"/>
      <c r="C377" s="74"/>
      <c r="F377" t="s">
        <v>404</v>
      </c>
      <c r="G377" t="s">
        <v>404</v>
      </c>
    </row>
    <row r="378" spans="1:7" ht="27" thickTop="1" thickBot="1" x14ac:dyDescent="0.4">
      <c r="A378" s="120"/>
      <c r="B378" s="12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3"/>
      <c r="D378" s="23" t="str">
        <f>IF(OR(B379="Please select 'Yes' or 'No' from the drop down list",B379="Please select 'I confirm' or 'I do not confirm' from the drop down list"),"E","")</f>
        <v/>
      </c>
      <c r="E378" s="23" t="str">
        <f>IF(B378="Is another domestic provider required?","E",IF(B378="Please confirm that the details entered into the Entry Form are correct","B",""))</f>
        <v/>
      </c>
      <c r="F378" t="s">
        <v>526</v>
      </c>
      <c r="G378" t="s">
        <v>521</v>
      </c>
    </row>
    <row r="379" spans="1:7" ht="27" thickTop="1" thickBot="1" x14ac:dyDescent="0.4">
      <c r="A379" s="124" t="str">
        <f>IF(AND(B379="Choose provider from the list",C378="Yes"),"Domestic Provider "&amp;(ROW()-ROW(A$154))/5,"")</f>
        <v/>
      </c>
      <c r="B379" s="78"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130"/>
      <c r="D379" s="2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23" t="str">
        <f>IF(B379="Choose provider from the list","H","")</f>
        <v/>
      </c>
      <c r="F379" t="s">
        <v>526</v>
      </c>
      <c r="G379" t="s">
        <v>524</v>
      </c>
    </row>
    <row r="380" spans="1:7" ht="27" thickTop="1" thickBot="1" x14ac:dyDescent="0.4">
      <c r="A380" s="120"/>
      <c r="B380" s="78" t="str">
        <f>IF(B379&lt;&gt;"Choose provider from the list","",IF(C379&lt;&gt;"PROVIDER NOT LISTED","","Type provider name manually"))</f>
        <v/>
      </c>
      <c r="C380" s="130"/>
      <c r="D380" s="2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t="s">
        <v>526</v>
      </c>
      <c r="G380" t="s">
        <v>404</v>
      </c>
    </row>
    <row r="381" spans="1:7" ht="27" thickTop="1" thickBot="1" x14ac:dyDescent="0.4">
      <c r="A381" s="120"/>
      <c r="B381" s="78"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4"/>
      <c r="D381" s="2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t="s">
        <v>526</v>
      </c>
      <c r="G381" t="s">
        <v>404</v>
      </c>
    </row>
    <row r="382" spans="1:7" ht="27" thickTop="1" thickBot="1" x14ac:dyDescent="0.4">
      <c r="A382" s="120"/>
      <c r="B382" s="51"/>
      <c r="C382" s="74"/>
      <c r="F382" t="s">
        <v>404</v>
      </c>
      <c r="G382" t="s">
        <v>404</v>
      </c>
    </row>
    <row r="383" spans="1:7" ht="27" thickTop="1" thickBot="1" x14ac:dyDescent="0.4">
      <c r="A383" s="120"/>
      <c r="B383" s="12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3"/>
      <c r="D383" s="23" t="str">
        <f>IF(OR(B384="Please select 'Yes' or 'No' from the drop down list",B384="Please select 'I confirm' or 'I do not confirm' from the drop down list"),"E","")</f>
        <v/>
      </c>
      <c r="E383" s="23" t="str">
        <f>IF(B383="Is another domestic provider required?","E",IF(B383="Please confirm that the details entered into the Entry Form are correct","B",""))</f>
        <v/>
      </c>
      <c r="F383" t="s">
        <v>526</v>
      </c>
      <c r="G383" t="s">
        <v>521</v>
      </c>
    </row>
    <row r="384" spans="1:7" ht="27" thickTop="1" thickBot="1" x14ac:dyDescent="0.4">
      <c r="A384" s="124" t="str">
        <f>IF(AND(B384="Choose provider from the list",C383="Yes"),"Domestic Provider "&amp;(ROW()-ROW(A$154))/5,"")</f>
        <v/>
      </c>
      <c r="B384" s="78"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130"/>
      <c r="D384" s="2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23" t="str">
        <f>IF(B384="Choose provider from the list","H","")</f>
        <v/>
      </c>
      <c r="F384" t="s">
        <v>526</v>
      </c>
      <c r="G384" t="s">
        <v>524</v>
      </c>
    </row>
    <row r="385" spans="1:7" ht="27" thickTop="1" thickBot="1" x14ac:dyDescent="0.4">
      <c r="A385" s="120"/>
      <c r="B385" s="78" t="str">
        <f>IF(B384&lt;&gt;"Choose provider from the list","",IF(C384&lt;&gt;"PROVIDER NOT LISTED","","Type provider name manually"))</f>
        <v/>
      </c>
      <c r="C385" s="130"/>
      <c r="D385" s="2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t="s">
        <v>526</v>
      </c>
      <c r="G385" t="s">
        <v>404</v>
      </c>
    </row>
    <row r="386" spans="1:7" ht="27" thickTop="1" thickBot="1" x14ac:dyDescent="0.4">
      <c r="A386" s="120"/>
      <c r="B386" s="78"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4"/>
      <c r="D386" s="2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t="s">
        <v>526</v>
      </c>
      <c r="G386" t="s">
        <v>404</v>
      </c>
    </row>
    <row r="387" spans="1:7" ht="27" thickTop="1" thickBot="1" x14ac:dyDescent="0.4">
      <c r="A387" s="120"/>
      <c r="B387" s="51"/>
      <c r="C387" s="74"/>
      <c r="F387" t="s">
        <v>404</v>
      </c>
      <c r="G387" t="s">
        <v>404</v>
      </c>
    </row>
    <row r="388" spans="1:7" ht="27" thickTop="1" thickBot="1" x14ac:dyDescent="0.4">
      <c r="A388" s="120"/>
      <c r="B388" s="12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3"/>
      <c r="D388" s="23" t="str">
        <f>IF(OR(B389="Please select 'Yes' or 'No' from the drop down list",B389="Please select 'I confirm' or 'I do not confirm' from the drop down list"),"E","")</f>
        <v/>
      </c>
      <c r="E388" s="23" t="str">
        <f>IF(B388="Is another domestic provider required?","E",IF(B388="Please confirm that the details entered into the Entry Form are correct","B",""))</f>
        <v/>
      </c>
      <c r="F388" t="s">
        <v>526</v>
      </c>
      <c r="G388" t="s">
        <v>521</v>
      </c>
    </row>
    <row r="389" spans="1:7" ht="27" thickTop="1" thickBot="1" x14ac:dyDescent="0.4">
      <c r="A389" s="124" t="str">
        <f>IF(AND(B389="Choose provider from the list",C388="Yes"),"Domestic Provider "&amp;(ROW()-ROW(A$154))/5,"")</f>
        <v/>
      </c>
      <c r="B389" s="78"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130"/>
      <c r="D389" s="2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23" t="str">
        <f>IF(B389="Choose provider from the list","H","")</f>
        <v/>
      </c>
      <c r="F389" t="s">
        <v>526</v>
      </c>
      <c r="G389" t="s">
        <v>524</v>
      </c>
    </row>
    <row r="390" spans="1:7" ht="27" thickTop="1" thickBot="1" x14ac:dyDescent="0.4">
      <c r="A390" s="120"/>
      <c r="B390" s="78" t="str">
        <f>IF(B389&lt;&gt;"Choose provider from the list","",IF(C389&lt;&gt;"PROVIDER NOT LISTED","","Type provider name manually"))</f>
        <v/>
      </c>
      <c r="C390" s="130"/>
      <c r="D390" s="2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t="s">
        <v>526</v>
      </c>
      <c r="G390" t="s">
        <v>404</v>
      </c>
    </row>
    <row r="391" spans="1:7" ht="27" thickTop="1" thickBot="1" x14ac:dyDescent="0.4">
      <c r="A391" s="120"/>
      <c r="B391" s="78"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4"/>
      <c r="D391" s="2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t="s">
        <v>526</v>
      </c>
      <c r="G391" t="s">
        <v>404</v>
      </c>
    </row>
    <row r="392" spans="1:7" ht="27" thickTop="1" thickBot="1" x14ac:dyDescent="0.4">
      <c r="A392" s="120"/>
      <c r="B392" s="51"/>
      <c r="C392" s="74"/>
      <c r="F392" t="s">
        <v>404</v>
      </c>
      <c r="G392" t="s">
        <v>404</v>
      </c>
    </row>
    <row r="393" spans="1:7" ht="27" thickTop="1" thickBot="1" x14ac:dyDescent="0.4">
      <c r="A393" s="120"/>
      <c r="B393" s="12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3"/>
      <c r="D393" s="23" t="str">
        <f>IF(OR(B394="Please select 'Yes' or 'No' from the drop down list",B394="Please select 'I confirm' or 'I do not confirm' from the drop down list"),"E","")</f>
        <v/>
      </c>
      <c r="E393" s="23" t="str">
        <f>IF(B393="Is another domestic provider required?","E",IF(B393="Please confirm that the details entered into the Entry Form are correct","B",""))</f>
        <v/>
      </c>
      <c r="F393" t="s">
        <v>526</v>
      </c>
      <c r="G393" t="s">
        <v>521</v>
      </c>
    </row>
    <row r="394" spans="1:7" ht="27" thickTop="1" thickBot="1" x14ac:dyDescent="0.4">
      <c r="A394" s="124" t="str">
        <f>IF(AND(B394="Choose provider from the list",C393="Yes"),"Domestic Provider "&amp;(ROW()-ROW(A$154))/5,"")</f>
        <v/>
      </c>
      <c r="B394" s="78"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130"/>
      <c r="D394" s="2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23" t="str">
        <f>IF(B394="Choose provider from the list","H","")</f>
        <v/>
      </c>
      <c r="F394" t="s">
        <v>526</v>
      </c>
      <c r="G394" t="s">
        <v>524</v>
      </c>
    </row>
    <row r="395" spans="1:7" ht="27" thickTop="1" thickBot="1" x14ac:dyDescent="0.4">
      <c r="A395" s="120"/>
      <c r="B395" s="78" t="str">
        <f>IF(B394&lt;&gt;"Choose provider from the list","",IF(C394&lt;&gt;"PROVIDER NOT LISTED","","Type provider name manually"))</f>
        <v/>
      </c>
      <c r="C395" s="130"/>
      <c r="D395" s="2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t="s">
        <v>526</v>
      </c>
      <c r="G395" t="s">
        <v>404</v>
      </c>
    </row>
    <row r="396" spans="1:7" ht="27" thickTop="1" thickBot="1" x14ac:dyDescent="0.4">
      <c r="A396" s="120"/>
      <c r="B396" s="78"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4"/>
      <c r="D396" s="2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t="s">
        <v>526</v>
      </c>
      <c r="G396" t="s">
        <v>404</v>
      </c>
    </row>
    <row r="397" spans="1:7" ht="27" thickTop="1" thickBot="1" x14ac:dyDescent="0.4">
      <c r="A397" s="120"/>
      <c r="B397" s="51"/>
      <c r="C397" s="74"/>
      <c r="F397" t="s">
        <v>404</v>
      </c>
      <c r="G397" t="s">
        <v>404</v>
      </c>
    </row>
    <row r="398" spans="1:7" ht="27" thickTop="1" thickBot="1" x14ac:dyDescent="0.4">
      <c r="A398" s="120"/>
      <c r="B398" s="12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3"/>
      <c r="D398" s="23" t="str">
        <f>IF(OR(B399="Please select 'Yes' or 'No' from the drop down list",B399="Please select 'I confirm' or 'I do not confirm' from the drop down list"),"E","")</f>
        <v/>
      </c>
      <c r="E398" s="23" t="str">
        <f>IF(B398="Is another domestic provider required?","E",IF(B398="Please confirm that the details entered into the Entry Form are correct","B",""))</f>
        <v/>
      </c>
      <c r="F398" t="s">
        <v>526</v>
      </c>
      <c r="G398" t="s">
        <v>521</v>
      </c>
    </row>
    <row r="399" spans="1:7" ht="27" thickTop="1" thickBot="1" x14ac:dyDescent="0.4">
      <c r="A399" s="124" t="str">
        <f>IF(AND(B399="Choose provider from the list",C398="Yes"),"Domestic Provider "&amp;(ROW()-ROW(A$154))/5,"")</f>
        <v/>
      </c>
      <c r="B399" s="78"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130"/>
      <c r="D399" s="2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23" t="str">
        <f>IF(B399="Choose provider from the list","H","")</f>
        <v/>
      </c>
      <c r="F399" t="s">
        <v>526</v>
      </c>
      <c r="G399" t="s">
        <v>524</v>
      </c>
    </row>
    <row r="400" spans="1:7" ht="27" thickTop="1" thickBot="1" x14ac:dyDescent="0.4">
      <c r="A400" s="120"/>
      <c r="B400" s="78" t="str">
        <f>IF(B399&lt;&gt;"Choose provider from the list","",IF(C399&lt;&gt;"PROVIDER NOT LISTED","","Type provider name manually"))</f>
        <v/>
      </c>
      <c r="C400" s="130"/>
      <c r="D400" s="2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t="s">
        <v>526</v>
      </c>
      <c r="G400" t="s">
        <v>404</v>
      </c>
    </row>
    <row r="401" spans="1:7" ht="27" thickTop="1" thickBot="1" x14ac:dyDescent="0.4">
      <c r="A401" s="120"/>
      <c r="B401" s="78"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4"/>
      <c r="D401" s="2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t="s">
        <v>526</v>
      </c>
      <c r="G401" t="s">
        <v>404</v>
      </c>
    </row>
    <row r="402" spans="1:7" ht="27" thickTop="1" thickBot="1" x14ac:dyDescent="0.4">
      <c r="A402" s="120"/>
      <c r="B402" s="51"/>
      <c r="C402" s="74"/>
      <c r="F402" t="s">
        <v>404</v>
      </c>
      <c r="G402" t="s">
        <v>404</v>
      </c>
    </row>
    <row r="403" spans="1:7" ht="27" thickTop="1" thickBot="1" x14ac:dyDescent="0.4">
      <c r="A403" s="120"/>
      <c r="B403" s="12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3"/>
      <c r="D403" s="23" t="str">
        <f>IF(OR(B404="Please select 'Yes' or 'No' from the drop down list",B404="Please select 'I confirm' or 'I do not confirm' from the drop down list"),"E","")</f>
        <v/>
      </c>
      <c r="E403" s="23" t="str">
        <f>IF(B403="Is another domestic provider required?","E",IF(B403="Please confirm that the details entered into the Entry Form are correct","B",""))</f>
        <v/>
      </c>
      <c r="F403" t="s">
        <v>526</v>
      </c>
      <c r="G403" t="s">
        <v>521</v>
      </c>
    </row>
    <row r="404" spans="1:7" ht="27" thickTop="1" thickBot="1" x14ac:dyDescent="0.4">
      <c r="A404" s="124" t="str">
        <f>IF(AND(B404="Choose provider from the list",C403="Yes"),"Domestic Provider "&amp;(ROW()-ROW(A$154))/5,"")</f>
        <v/>
      </c>
      <c r="B404" s="78"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130"/>
      <c r="D404" s="2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23" t="str">
        <f>IF(B404="Choose provider from the list","H","")</f>
        <v/>
      </c>
      <c r="F404" t="s">
        <v>526</v>
      </c>
      <c r="G404" t="s">
        <v>524</v>
      </c>
    </row>
    <row r="405" spans="1:7" ht="27" thickTop="1" thickBot="1" x14ac:dyDescent="0.4">
      <c r="A405" s="120"/>
      <c r="B405" s="78" t="str">
        <f>IF(B404&lt;&gt;"Choose provider from the list","",IF(C404&lt;&gt;"PROVIDER NOT LISTED","","Type provider name manually"))</f>
        <v/>
      </c>
      <c r="C405" s="130"/>
      <c r="D405" s="2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t="s">
        <v>526</v>
      </c>
      <c r="G405" t="s">
        <v>404</v>
      </c>
    </row>
    <row r="406" spans="1:7" ht="27" thickTop="1" thickBot="1" x14ac:dyDescent="0.4">
      <c r="A406" s="120"/>
      <c r="B406" s="78"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4"/>
      <c r="D406" s="2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t="s">
        <v>526</v>
      </c>
      <c r="G406" t="s">
        <v>404</v>
      </c>
    </row>
    <row r="407" spans="1:7" ht="27" thickTop="1" thickBot="1" x14ac:dyDescent="0.4">
      <c r="A407" s="125"/>
      <c r="B407" s="93" t="str">
        <f>IF(ISNUMBER(MATCH("Entry Form complete - proceed to summary sheet",$B$164:$B$406,0)),"Entry Form complete","")</f>
        <v>Entry Form complete</v>
      </c>
      <c r="C407" s="94"/>
      <c r="F407" t="s">
        <v>404</v>
      </c>
      <c r="G407" t="s">
        <v>404</v>
      </c>
    </row>
  </sheetData>
  <sheetProtection algorithmName="SHA-256" hashValue="Vq4kRrLumRLavP59dZ5liiH+hLRXEcS3u8h/40gYexQ=" saltValue="+bv1I636K4Zlpzsu64tqMQ==" spinCount="100000" sheet="1" objects="1" scenarios="1"/>
  <conditionalFormatting sqref="A1:A407">
    <cfRule type="expression" dxfId="650" priority="1">
      <formula>$B$1="Legal Services Expenditure Report 2020-21"</formula>
    </cfRule>
  </conditionalFormatting>
  <conditionalFormatting sqref="A164 C164">
    <cfRule type="expression" dxfId="649" priority="7078">
      <formula>$B$164&lt;&gt;"Choose provider from the list"</formula>
    </cfRule>
  </conditionalFormatting>
  <conditionalFormatting sqref="A166 C166">
    <cfRule type="expression" dxfId="648" priority="7075">
      <formula>$B166&lt;&gt;"Total value of expenditure"</formula>
    </cfRule>
  </conditionalFormatting>
  <conditionalFormatting sqref="A168">
    <cfRule type="expression" dxfId="647" priority="7065">
      <formula>$B168&lt;&gt;"Is another domestic provider required?"</formula>
    </cfRule>
  </conditionalFormatting>
  <conditionalFormatting sqref="A169 C169">
    <cfRule type="expression" dxfId="646" priority="7071">
      <formula>$B169&lt;&gt;"Choose provider from the list"</formula>
    </cfRule>
  </conditionalFormatting>
  <conditionalFormatting sqref="A171 C171">
    <cfRule type="expression" dxfId="645" priority="7066">
      <formula>$B171&lt;&gt;"Total value of expenditure"</formula>
    </cfRule>
  </conditionalFormatting>
  <conditionalFormatting sqref="A173">
    <cfRule type="expression" dxfId="644" priority="651">
      <formula>$B173&lt;&gt;"Is another domestic provider required?"</formula>
    </cfRule>
  </conditionalFormatting>
  <conditionalFormatting sqref="A174 C174">
    <cfRule type="expression" dxfId="643" priority="656">
      <formula>$B174&lt;&gt;"Choose provider from the list"</formula>
    </cfRule>
  </conditionalFormatting>
  <conditionalFormatting sqref="A176 C176">
    <cfRule type="expression" dxfId="642" priority="652">
      <formula>$B176&lt;&gt;"Total value of expenditure"</formula>
    </cfRule>
  </conditionalFormatting>
  <conditionalFormatting sqref="A178">
    <cfRule type="expression" dxfId="641" priority="637">
      <formula>$B178&lt;&gt;"Is another domestic provider required?"</formula>
    </cfRule>
  </conditionalFormatting>
  <conditionalFormatting sqref="A179 C179">
    <cfRule type="expression" dxfId="640" priority="642">
      <formula>$B179&lt;&gt;"Choose provider from the list"</formula>
    </cfRule>
  </conditionalFormatting>
  <conditionalFormatting sqref="A181 C181">
    <cfRule type="expression" dxfId="639" priority="638">
      <formula>$B181&lt;&gt;"Total value of expenditure"</formula>
    </cfRule>
  </conditionalFormatting>
  <conditionalFormatting sqref="A183">
    <cfRule type="expression" dxfId="638" priority="623">
      <formula>$B183&lt;&gt;"Is another domestic provider required?"</formula>
    </cfRule>
  </conditionalFormatting>
  <conditionalFormatting sqref="A184 C184">
    <cfRule type="expression" dxfId="637" priority="628">
      <formula>$B184&lt;&gt;"Choose provider from the list"</formula>
    </cfRule>
  </conditionalFormatting>
  <conditionalFormatting sqref="A186 C186">
    <cfRule type="expression" dxfId="636" priority="624">
      <formula>$B186&lt;&gt;"Total value of expenditure"</formula>
    </cfRule>
  </conditionalFormatting>
  <conditionalFormatting sqref="A188">
    <cfRule type="expression" dxfId="635" priority="609">
      <formula>$B188&lt;&gt;"Is another domestic provider required?"</formula>
    </cfRule>
  </conditionalFormatting>
  <conditionalFormatting sqref="A189 C189">
    <cfRule type="expression" dxfId="634" priority="614">
      <formula>$B189&lt;&gt;"Choose provider from the list"</formula>
    </cfRule>
  </conditionalFormatting>
  <conditionalFormatting sqref="A191 C191">
    <cfRule type="expression" dxfId="633" priority="610">
      <formula>$B191&lt;&gt;"Total value of expenditure"</formula>
    </cfRule>
  </conditionalFormatting>
  <conditionalFormatting sqref="A193">
    <cfRule type="expression" dxfId="632" priority="595">
      <formula>$B193&lt;&gt;"Is another domestic provider required?"</formula>
    </cfRule>
  </conditionalFormatting>
  <conditionalFormatting sqref="A194 C194">
    <cfRule type="expression" dxfId="631" priority="600">
      <formula>$B194&lt;&gt;"Choose provider from the list"</formula>
    </cfRule>
  </conditionalFormatting>
  <conditionalFormatting sqref="A196 C196">
    <cfRule type="expression" dxfId="630" priority="596">
      <formula>$B196&lt;&gt;"Total value of expenditure"</formula>
    </cfRule>
  </conditionalFormatting>
  <conditionalFormatting sqref="A198">
    <cfRule type="expression" dxfId="629" priority="581">
      <formula>$B198&lt;&gt;"Is another domestic provider required?"</formula>
    </cfRule>
  </conditionalFormatting>
  <conditionalFormatting sqref="A199 C199">
    <cfRule type="expression" dxfId="628" priority="586">
      <formula>$B199&lt;&gt;"Choose provider from the list"</formula>
    </cfRule>
  </conditionalFormatting>
  <conditionalFormatting sqref="A201 C201">
    <cfRule type="expression" dxfId="627" priority="582">
      <formula>$B201&lt;&gt;"Total value of expenditure"</formula>
    </cfRule>
  </conditionalFormatting>
  <conditionalFormatting sqref="A203">
    <cfRule type="expression" dxfId="626" priority="567">
      <formula>$B203&lt;&gt;"Is another domestic provider required?"</formula>
    </cfRule>
  </conditionalFormatting>
  <conditionalFormatting sqref="A204 C204">
    <cfRule type="expression" dxfId="625" priority="572">
      <formula>$B204&lt;&gt;"Choose provider from the list"</formula>
    </cfRule>
  </conditionalFormatting>
  <conditionalFormatting sqref="A206 C206">
    <cfRule type="expression" dxfId="624" priority="568">
      <formula>$B206&lt;&gt;"Total value of expenditure"</formula>
    </cfRule>
  </conditionalFormatting>
  <conditionalFormatting sqref="A208">
    <cfRule type="expression" dxfId="623" priority="553">
      <formula>$B208&lt;&gt;"Is another domestic provider required?"</formula>
    </cfRule>
  </conditionalFormatting>
  <conditionalFormatting sqref="A209 C209">
    <cfRule type="expression" dxfId="622" priority="558">
      <formula>$B209&lt;&gt;"Choose provider from the list"</formula>
    </cfRule>
  </conditionalFormatting>
  <conditionalFormatting sqref="A211 C211">
    <cfRule type="expression" dxfId="621" priority="554">
      <formula>$B211&lt;&gt;"Total value of expenditure"</formula>
    </cfRule>
  </conditionalFormatting>
  <conditionalFormatting sqref="A213">
    <cfRule type="expression" dxfId="620" priority="539">
      <formula>$B213&lt;&gt;"Is another domestic provider required?"</formula>
    </cfRule>
  </conditionalFormatting>
  <conditionalFormatting sqref="A214 C214">
    <cfRule type="expression" dxfId="619" priority="544">
      <formula>$B214&lt;&gt;"Choose provider from the list"</formula>
    </cfRule>
  </conditionalFormatting>
  <conditionalFormatting sqref="A216 C216">
    <cfRule type="expression" dxfId="618" priority="540">
      <formula>$B216&lt;&gt;"Total value of expenditure"</formula>
    </cfRule>
  </conditionalFormatting>
  <conditionalFormatting sqref="A218">
    <cfRule type="expression" dxfId="617" priority="525">
      <formula>$B218&lt;&gt;"Is another domestic provider required?"</formula>
    </cfRule>
  </conditionalFormatting>
  <conditionalFormatting sqref="A219 C219">
    <cfRule type="expression" dxfId="616" priority="530">
      <formula>$B219&lt;&gt;"Choose provider from the list"</formula>
    </cfRule>
  </conditionalFormatting>
  <conditionalFormatting sqref="A221 C221">
    <cfRule type="expression" dxfId="615" priority="526">
      <formula>$B221&lt;&gt;"Total value of expenditure"</formula>
    </cfRule>
  </conditionalFormatting>
  <conditionalFormatting sqref="A223">
    <cfRule type="expression" dxfId="614" priority="511">
      <formula>$B223&lt;&gt;"Is another domestic provider required?"</formula>
    </cfRule>
  </conditionalFormatting>
  <conditionalFormatting sqref="A224 C224">
    <cfRule type="expression" dxfId="613" priority="516">
      <formula>$B224&lt;&gt;"Choose provider from the list"</formula>
    </cfRule>
  </conditionalFormatting>
  <conditionalFormatting sqref="A226 C226">
    <cfRule type="expression" dxfId="612" priority="512">
      <formula>$B226&lt;&gt;"Total value of expenditure"</formula>
    </cfRule>
  </conditionalFormatting>
  <conditionalFormatting sqref="A228">
    <cfRule type="expression" dxfId="611" priority="497">
      <formula>$B228&lt;&gt;"Is another domestic provider required?"</formula>
    </cfRule>
  </conditionalFormatting>
  <conditionalFormatting sqref="A229 C229">
    <cfRule type="expression" dxfId="610" priority="502">
      <formula>$B229&lt;&gt;"Choose provider from the list"</formula>
    </cfRule>
  </conditionalFormatting>
  <conditionalFormatting sqref="A231 C231">
    <cfRule type="expression" dxfId="609" priority="498">
      <formula>$B231&lt;&gt;"Total value of expenditure"</formula>
    </cfRule>
  </conditionalFormatting>
  <conditionalFormatting sqref="A233">
    <cfRule type="expression" dxfId="608" priority="483">
      <formula>$B233&lt;&gt;"Is another domestic provider required?"</formula>
    </cfRule>
  </conditionalFormatting>
  <conditionalFormatting sqref="A234 C234">
    <cfRule type="expression" dxfId="607" priority="488">
      <formula>$B234&lt;&gt;"Choose provider from the list"</formula>
    </cfRule>
  </conditionalFormatting>
  <conditionalFormatting sqref="A236 C236">
    <cfRule type="expression" dxfId="606" priority="484">
      <formula>$B236&lt;&gt;"Total value of expenditure"</formula>
    </cfRule>
  </conditionalFormatting>
  <conditionalFormatting sqref="A238">
    <cfRule type="expression" dxfId="605" priority="469">
      <formula>$B238&lt;&gt;"Is another domestic provider required?"</formula>
    </cfRule>
  </conditionalFormatting>
  <conditionalFormatting sqref="A239 C239">
    <cfRule type="expression" dxfId="604" priority="474">
      <formula>$B239&lt;&gt;"Choose provider from the list"</formula>
    </cfRule>
  </conditionalFormatting>
  <conditionalFormatting sqref="A241 C241">
    <cfRule type="expression" dxfId="603" priority="470">
      <formula>$B241&lt;&gt;"Total value of expenditure"</formula>
    </cfRule>
  </conditionalFormatting>
  <conditionalFormatting sqref="A243">
    <cfRule type="expression" dxfId="602" priority="455">
      <formula>$B243&lt;&gt;"Is another domestic provider required?"</formula>
    </cfRule>
  </conditionalFormatting>
  <conditionalFormatting sqref="A244 C244">
    <cfRule type="expression" dxfId="601" priority="460">
      <formula>$B244&lt;&gt;"Choose provider from the list"</formula>
    </cfRule>
  </conditionalFormatting>
  <conditionalFormatting sqref="A246 C246">
    <cfRule type="expression" dxfId="600" priority="456">
      <formula>$B246&lt;&gt;"Total value of expenditure"</formula>
    </cfRule>
  </conditionalFormatting>
  <conditionalFormatting sqref="A248">
    <cfRule type="expression" dxfId="599" priority="441">
      <formula>$B248&lt;&gt;"Is another domestic provider required?"</formula>
    </cfRule>
  </conditionalFormatting>
  <conditionalFormatting sqref="A249 C249">
    <cfRule type="expression" dxfId="598" priority="446">
      <formula>$B249&lt;&gt;"Choose provider from the list"</formula>
    </cfRule>
  </conditionalFormatting>
  <conditionalFormatting sqref="A251 C251">
    <cfRule type="expression" dxfId="597" priority="442">
      <formula>$B251&lt;&gt;"Total value of expenditure"</formula>
    </cfRule>
  </conditionalFormatting>
  <conditionalFormatting sqref="A253">
    <cfRule type="expression" dxfId="596" priority="427">
      <formula>$B253&lt;&gt;"Is another domestic provider required?"</formula>
    </cfRule>
  </conditionalFormatting>
  <conditionalFormatting sqref="A254 C254">
    <cfRule type="expression" dxfId="595" priority="432">
      <formula>$B254&lt;&gt;"Choose provider from the list"</formula>
    </cfRule>
  </conditionalFormatting>
  <conditionalFormatting sqref="A256 C256">
    <cfRule type="expression" dxfId="594" priority="428">
      <formula>$B256&lt;&gt;"Total value of expenditure"</formula>
    </cfRule>
  </conditionalFormatting>
  <conditionalFormatting sqref="A258">
    <cfRule type="expression" dxfId="593" priority="413">
      <formula>$B258&lt;&gt;"Is another domestic provider required?"</formula>
    </cfRule>
  </conditionalFormatting>
  <conditionalFormatting sqref="A259 C259">
    <cfRule type="expression" dxfId="592" priority="418">
      <formula>$B259&lt;&gt;"Choose provider from the list"</formula>
    </cfRule>
  </conditionalFormatting>
  <conditionalFormatting sqref="A261 C261">
    <cfRule type="expression" dxfId="591" priority="414">
      <formula>$B261&lt;&gt;"Total value of expenditure"</formula>
    </cfRule>
  </conditionalFormatting>
  <conditionalFormatting sqref="A263">
    <cfRule type="expression" dxfId="590" priority="399">
      <formula>$B263&lt;&gt;"Is another domestic provider required?"</formula>
    </cfRule>
  </conditionalFormatting>
  <conditionalFormatting sqref="A264 C264">
    <cfRule type="expression" dxfId="589" priority="404">
      <formula>$B264&lt;&gt;"Choose provider from the list"</formula>
    </cfRule>
  </conditionalFormatting>
  <conditionalFormatting sqref="A266 C266">
    <cfRule type="expression" dxfId="588" priority="400">
      <formula>$B266&lt;&gt;"Total value of expenditure"</formula>
    </cfRule>
  </conditionalFormatting>
  <conditionalFormatting sqref="A268">
    <cfRule type="expression" dxfId="587" priority="385">
      <formula>$B268&lt;&gt;"Is another domestic provider required?"</formula>
    </cfRule>
  </conditionalFormatting>
  <conditionalFormatting sqref="A269 C269">
    <cfRule type="expression" dxfId="586" priority="390">
      <formula>$B269&lt;&gt;"Choose provider from the list"</formula>
    </cfRule>
  </conditionalFormatting>
  <conditionalFormatting sqref="A271 C271">
    <cfRule type="expression" dxfId="585" priority="386">
      <formula>$B271&lt;&gt;"Total value of expenditure"</formula>
    </cfRule>
  </conditionalFormatting>
  <conditionalFormatting sqref="A273">
    <cfRule type="expression" dxfId="584" priority="371">
      <formula>$B273&lt;&gt;"Is another domestic provider required?"</formula>
    </cfRule>
  </conditionalFormatting>
  <conditionalFormatting sqref="A274 C274">
    <cfRule type="expression" dxfId="583" priority="376">
      <formula>$B274&lt;&gt;"Choose provider from the list"</formula>
    </cfRule>
  </conditionalFormatting>
  <conditionalFormatting sqref="A276 C276">
    <cfRule type="expression" dxfId="582" priority="372">
      <formula>$B276&lt;&gt;"Total value of expenditure"</formula>
    </cfRule>
  </conditionalFormatting>
  <conditionalFormatting sqref="A278">
    <cfRule type="expression" dxfId="581" priority="357">
      <formula>$B278&lt;&gt;"Is another domestic provider required?"</formula>
    </cfRule>
  </conditionalFormatting>
  <conditionalFormatting sqref="A279 C279">
    <cfRule type="expression" dxfId="580" priority="362">
      <formula>$B279&lt;&gt;"Choose provider from the list"</formula>
    </cfRule>
  </conditionalFormatting>
  <conditionalFormatting sqref="A281 C281">
    <cfRule type="expression" dxfId="579" priority="358">
      <formula>$B281&lt;&gt;"Total value of expenditure"</formula>
    </cfRule>
  </conditionalFormatting>
  <conditionalFormatting sqref="A283">
    <cfRule type="expression" dxfId="578" priority="343">
      <formula>$B283&lt;&gt;"Is another domestic provider required?"</formula>
    </cfRule>
  </conditionalFormatting>
  <conditionalFormatting sqref="A284 C284">
    <cfRule type="expression" dxfId="577" priority="348">
      <formula>$B284&lt;&gt;"Choose provider from the list"</formula>
    </cfRule>
  </conditionalFormatting>
  <conditionalFormatting sqref="A286 C286">
    <cfRule type="expression" dxfId="576" priority="344">
      <formula>$B286&lt;&gt;"Total value of expenditure"</formula>
    </cfRule>
  </conditionalFormatting>
  <conditionalFormatting sqref="A288">
    <cfRule type="expression" dxfId="575" priority="329">
      <formula>$B288&lt;&gt;"Is another domestic provider required?"</formula>
    </cfRule>
  </conditionalFormatting>
  <conditionalFormatting sqref="A289 C289">
    <cfRule type="expression" dxfId="574" priority="334">
      <formula>$B289&lt;&gt;"Choose provider from the list"</formula>
    </cfRule>
  </conditionalFormatting>
  <conditionalFormatting sqref="A291 C291">
    <cfRule type="expression" dxfId="573" priority="330">
      <formula>$B291&lt;&gt;"Total value of expenditure"</formula>
    </cfRule>
  </conditionalFormatting>
  <conditionalFormatting sqref="A293">
    <cfRule type="expression" dxfId="572" priority="315">
      <formula>$B293&lt;&gt;"Is another domestic provider required?"</formula>
    </cfRule>
  </conditionalFormatting>
  <conditionalFormatting sqref="A294 C294">
    <cfRule type="expression" dxfId="571" priority="320">
      <formula>$B294&lt;&gt;"Choose provider from the list"</formula>
    </cfRule>
  </conditionalFormatting>
  <conditionalFormatting sqref="A296 C296">
    <cfRule type="expression" dxfId="570" priority="316">
      <formula>$B296&lt;&gt;"Total value of expenditure"</formula>
    </cfRule>
  </conditionalFormatting>
  <conditionalFormatting sqref="A298">
    <cfRule type="expression" dxfId="569" priority="301">
      <formula>$B298&lt;&gt;"Is another domestic provider required?"</formula>
    </cfRule>
  </conditionalFormatting>
  <conditionalFormatting sqref="A299 C299">
    <cfRule type="expression" dxfId="568" priority="306">
      <formula>$B299&lt;&gt;"Choose provider from the list"</formula>
    </cfRule>
  </conditionalFormatting>
  <conditionalFormatting sqref="A301 C301">
    <cfRule type="expression" dxfId="567" priority="302">
      <formula>$B301&lt;&gt;"Total value of expenditure"</formula>
    </cfRule>
  </conditionalFormatting>
  <conditionalFormatting sqref="A303">
    <cfRule type="expression" dxfId="566" priority="287">
      <formula>$B303&lt;&gt;"Is another domestic provider required?"</formula>
    </cfRule>
  </conditionalFormatting>
  <conditionalFormatting sqref="A304 C304">
    <cfRule type="expression" dxfId="565" priority="292">
      <formula>$B304&lt;&gt;"Choose provider from the list"</formula>
    </cfRule>
  </conditionalFormatting>
  <conditionalFormatting sqref="A306 C306">
    <cfRule type="expression" dxfId="564" priority="288">
      <formula>$B306&lt;&gt;"Total value of expenditure"</formula>
    </cfRule>
  </conditionalFormatting>
  <conditionalFormatting sqref="A308">
    <cfRule type="expression" dxfId="563" priority="273">
      <formula>$B308&lt;&gt;"Is another domestic provider required?"</formula>
    </cfRule>
  </conditionalFormatting>
  <conditionalFormatting sqref="A309 C309">
    <cfRule type="expression" dxfId="562" priority="278">
      <formula>$B309&lt;&gt;"Choose provider from the list"</formula>
    </cfRule>
  </conditionalFormatting>
  <conditionalFormatting sqref="A311 C311">
    <cfRule type="expression" dxfId="561" priority="274">
      <formula>$B311&lt;&gt;"Total value of expenditure"</formula>
    </cfRule>
  </conditionalFormatting>
  <conditionalFormatting sqref="A313">
    <cfRule type="expression" dxfId="560" priority="259">
      <formula>$B313&lt;&gt;"Is another domestic provider required?"</formula>
    </cfRule>
  </conditionalFormatting>
  <conditionalFormatting sqref="A314 C314">
    <cfRule type="expression" dxfId="559" priority="264">
      <formula>$B314&lt;&gt;"Choose provider from the list"</formula>
    </cfRule>
  </conditionalFormatting>
  <conditionalFormatting sqref="A316 C316">
    <cfRule type="expression" dxfId="558" priority="260">
      <formula>$B316&lt;&gt;"Total value of expenditure"</formula>
    </cfRule>
  </conditionalFormatting>
  <conditionalFormatting sqref="A318">
    <cfRule type="expression" dxfId="557" priority="245">
      <formula>$B318&lt;&gt;"Is another domestic provider required?"</formula>
    </cfRule>
  </conditionalFormatting>
  <conditionalFormatting sqref="A319 C319">
    <cfRule type="expression" dxfId="556" priority="250">
      <formula>$B319&lt;&gt;"Choose provider from the list"</formula>
    </cfRule>
  </conditionalFormatting>
  <conditionalFormatting sqref="A321 C321">
    <cfRule type="expression" dxfId="555" priority="246">
      <formula>$B321&lt;&gt;"Total value of expenditure"</formula>
    </cfRule>
  </conditionalFormatting>
  <conditionalFormatting sqref="A323">
    <cfRule type="expression" dxfId="554" priority="231">
      <formula>$B323&lt;&gt;"Is another domestic provider required?"</formula>
    </cfRule>
  </conditionalFormatting>
  <conditionalFormatting sqref="A324 C324">
    <cfRule type="expression" dxfId="553" priority="236">
      <formula>$B324&lt;&gt;"Choose provider from the list"</formula>
    </cfRule>
  </conditionalFormatting>
  <conditionalFormatting sqref="A326 C326">
    <cfRule type="expression" dxfId="552" priority="232">
      <formula>$B326&lt;&gt;"Total value of expenditure"</formula>
    </cfRule>
  </conditionalFormatting>
  <conditionalFormatting sqref="A328">
    <cfRule type="expression" dxfId="551" priority="217">
      <formula>$B328&lt;&gt;"Is another domestic provider required?"</formula>
    </cfRule>
  </conditionalFormatting>
  <conditionalFormatting sqref="A329 C329">
    <cfRule type="expression" dxfId="550" priority="222">
      <formula>$B329&lt;&gt;"Choose provider from the list"</formula>
    </cfRule>
  </conditionalFormatting>
  <conditionalFormatting sqref="A331 C331">
    <cfRule type="expression" dxfId="549" priority="218">
      <formula>$B331&lt;&gt;"Total value of expenditure"</formula>
    </cfRule>
  </conditionalFormatting>
  <conditionalFormatting sqref="A333">
    <cfRule type="expression" dxfId="548" priority="203">
      <formula>$B333&lt;&gt;"Is another domestic provider required?"</formula>
    </cfRule>
  </conditionalFormatting>
  <conditionalFormatting sqref="A334 C334">
    <cfRule type="expression" dxfId="547" priority="208">
      <formula>$B334&lt;&gt;"Choose provider from the list"</formula>
    </cfRule>
  </conditionalFormatting>
  <conditionalFormatting sqref="A336 C336">
    <cfRule type="expression" dxfId="546" priority="204">
      <formula>$B336&lt;&gt;"Total value of expenditure"</formula>
    </cfRule>
  </conditionalFormatting>
  <conditionalFormatting sqref="A338">
    <cfRule type="expression" dxfId="545" priority="189">
      <formula>$B338&lt;&gt;"Is another domestic provider required?"</formula>
    </cfRule>
  </conditionalFormatting>
  <conditionalFormatting sqref="A339 C339">
    <cfRule type="expression" dxfId="544" priority="194">
      <formula>$B339&lt;&gt;"Choose provider from the list"</formula>
    </cfRule>
  </conditionalFormatting>
  <conditionalFormatting sqref="A341 C341">
    <cfRule type="expression" dxfId="543" priority="190">
      <formula>$B341&lt;&gt;"Total value of expenditure"</formula>
    </cfRule>
  </conditionalFormatting>
  <conditionalFormatting sqref="A343">
    <cfRule type="expression" dxfId="542" priority="175">
      <formula>$B343&lt;&gt;"Is another domestic provider required?"</formula>
    </cfRule>
  </conditionalFormatting>
  <conditionalFormatting sqref="A344 C344">
    <cfRule type="expression" dxfId="541" priority="180">
      <formula>$B344&lt;&gt;"Choose provider from the list"</formula>
    </cfRule>
  </conditionalFormatting>
  <conditionalFormatting sqref="A346 C346">
    <cfRule type="expression" dxfId="540" priority="176">
      <formula>$B346&lt;&gt;"Total value of expenditure"</formula>
    </cfRule>
  </conditionalFormatting>
  <conditionalFormatting sqref="A348">
    <cfRule type="expression" dxfId="539" priority="161">
      <formula>$B348&lt;&gt;"Is another domestic provider required?"</formula>
    </cfRule>
  </conditionalFormatting>
  <conditionalFormatting sqref="A349 C349">
    <cfRule type="expression" dxfId="538" priority="166">
      <formula>$B349&lt;&gt;"Choose provider from the list"</formula>
    </cfRule>
  </conditionalFormatting>
  <conditionalFormatting sqref="A351 C351">
    <cfRule type="expression" dxfId="537" priority="162">
      <formula>$B351&lt;&gt;"Total value of expenditure"</formula>
    </cfRule>
  </conditionalFormatting>
  <conditionalFormatting sqref="A353">
    <cfRule type="expression" dxfId="536" priority="147">
      <formula>$B353&lt;&gt;"Is another domestic provider required?"</formula>
    </cfRule>
  </conditionalFormatting>
  <conditionalFormatting sqref="A354 C354">
    <cfRule type="expression" dxfId="535" priority="152">
      <formula>$B354&lt;&gt;"Choose provider from the list"</formula>
    </cfRule>
  </conditionalFormatting>
  <conditionalFormatting sqref="A356 C356">
    <cfRule type="expression" dxfId="534" priority="148">
      <formula>$B356&lt;&gt;"Total value of expenditure"</formula>
    </cfRule>
  </conditionalFormatting>
  <conditionalFormatting sqref="A358">
    <cfRule type="expression" dxfId="533" priority="133">
      <formula>$B358&lt;&gt;"Is another domestic provider required?"</formula>
    </cfRule>
  </conditionalFormatting>
  <conditionalFormatting sqref="A359 C359">
    <cfRule type="expression" dxfId="532" priority="138">
      <formula>$B359&lt;&gt;"Choose provider from the list"</formula>
    </cfRule>
  </conditionalFormatting>
  <conditionalFormatting sqref="A361 C361">
    <cfRule type="expression" dxfId="531" priority="134">
      <formula>$B361&lt;&gt;"Total value of expenditure"</formula>
    </cfRule>
  </conditionalFormatting>
  <conditionalFormatting sqref="A363">
    <cfRule type="expression" dxfId="530" priority="119">
      <formula>$B363&lt;&gt;"Is another domestic provider required?"</formula>
    </cfRule>
  </conditionalFormatting>
  <conditionalFormatting sqref="A364 C364">
    <cfRule type="expression" dxfId="529" priority="124">
      <formula>$B364&lt;&gt;"Choose provider from the list"</formula>
    </cfRule>
  </conditionalFormatting>
  <conditionalFormatting sqref="A366 C366">
    <cfRule type="expression" dxfId="528" priority="120">
      <formula>$B366&lt;&gt;"Total value of expenditure"</formula>
    </cfRule>
  </conditionalFormatting>
  <conditionalFormatting sqref="A368">
    <cfRule type="expression" dxfId="527" priority="105">
      <formula>$B368&lt;&gt;"Is another domestic provider required?"</formula>
    </cfRule>
  </conditionalFormatting>
  <conditionalFormatting sqref="A369 C369">
    <cfRule type="expression" dxfId="526" priority="110">
      <formula>$B369&lt;&gt;"Choose provider from the list"</formula>
    </cfRule>
  </conditionalFormatting>
  <conditionalFormatting sqref="A371 C371">
    <cfRule type="expression" dxfId="525" priority="106">
      <formula>$B371&lt;&gt;"Total value of expenditure"</formula>
    </cfRule>
  </conditionalFormatting>
  <conditionalFormatting sqref="A373">
    <cfRule type="expression" dxfId="524" priority="91">
      <formula>$B373&lt;&gt;"Is another domestic provider required?"</formula>
    </cfRule>
  </conditionalFormatting>
  <conditionalFormatting sqref="A374 C374">
    <cfRule type="expression" dxfId="523" priority="96">
      <formula>$B374&lt;&gt;"Choose provider from the list"</formula>
    </cfRule>
  </conditionalFormatting>
  <conditionalFormatting sqref="A376 C376">
    <cfRule type="expression" dxfId="522" priority="92">
      <formula>$B376&lt;&gt;"Total value of expenditure"</formula>
    </cfRule>
  </conditionalFormatting>
  <conditionalFormatting sqref="A378">
    <cfRule type="expression" dxfId="521" priority="77">
      <formula>$B378&lt;&gt;"Is another domestic provider required?"</formula>
    </cfRule>
  </conditionalFormatting>
  <conditionalFormatting sqref="A379 C379">
    <cfRule type="expression" dxfId="520" priority="82">
      <formula>$B379&lt;&gt;"Choose provider from the list"</formula>
    </cfRule>
  </conditionalFormatting>
  <conditionalFormatting sqref="A381 C381">
    <cfRule type="expression" dxfId="519" priority="78">
      <formula>$B381&lt;&gt;"Total value of expenditure"</formula>
    </cfRule>
  </conditionalFormatting>
  <conditionalFormatting sqref="A383">
    <cfRule type="expression" dxfId="518" priority="63">
      <formula>$B383&lt;&gt;"Is another domestic provider required?"</formula>
    </cfRule>
  </conditionalFormatting>
  <conditionalFormatting sqref="A384 C384">
    <cfRule type="expression" dxfId="517" priority="68">
      <formula>$B384&lt;&gt;"Choose provider from the list"</formula>
    </cfRule>
  </conditionalFormatting>
  <conditionalFormatting sqref="A386 C386">
    <cfRule type="expression" dxfId="516" priority="64">
      <formula>$B386&lt;&gt;"Total value of expenditure"</formula>
    </cfRule>
  </conditionalFormatting>
  <conditionalFormatting sqref="A388">
    <cfRule type="expression" dxfId="515" priority="49">
      <formula>$B388&lt;&gt;"Is another domestic provider required?"</formula>
    </cfRule>
  </conditionalFormatting>
  <conditionalFormatting sqref="A389 C389">
    <cfRule type="expression" dxfId="514" priority="54">
      <formula>$B389&lt;&gt;"Choose provider from the list"</formula>
    </cfRule>
  </conditionalFormatting>
  <conditionalFormatting sqref="A391 C391">
    <cfRule type="expression" dxfId="513" priority="50">
      <formula>$B391&lt;&gt;"Total value of expenditure"</formula>
    </cfRule>
  </conditionalFormatting>
  <conditionalFormatting sqref="A393">
    <cfRule type="expression" dxfId="512" priority="35">
      <formula>$B393&lt;&gt;"Is another domestic provider required?"</formula>
    </cfRule>
  </conditionalFormatting>
  <conditionalFormatting sqref="A394 C394">
    <cfRule type="expression" dxfId="511" priority="40">
      <formula>$B394&lt;&gt;"Choose provider from the list"</formula>
    </cfRule>
  </conditionalFormatting>
  <conditionalFormatting sqref="A396 C396">
    <cfRule type="expression" dxfId="510" priority="36">
      <formula>$B396&lt;&gt;"Total value of expenditure"</formula>
    </cfRule>
  </conditionalFormatting>
  <conditionalFormatting sqref="A398">
    <cfRule type="expression" dxfId="509" priority="21">
      <formula>$B398&lt;&gt;"Is another domestic provider required?"</formula>
    </cfRule>
  </conditionalFormatting>
  <conditionalFormatting sqref="A399 C399">
    <cfRule type="expression" dxfId="508" priority="26">
      <formula>$B399&lt;&gt;"Choose provider from the list"</formula>
    </cfRule>
  </conditionalFormatting>
  <conditionalFormatting sqref="A401 C401">
    <cfRule type="expression" dxfId="507" priority="22">
      <formula>$B401&lt;&gt;"Total value of expenditure"</formula>
    </cfRule>
  </conditionalFormatting>
  <conditionalFormatting sqref="A403">
    <cfRule type="expression" dxfId="506" priority="7">
      <formula>$B403&lt;&gt;"Is another domestic provider required?"</formula>
    </cfRule>
  </conditionalFormatting>
  <conditionalFormatting sqref="A404 C404">
    <cfRule type="expression" dxfId="505" priority="12">
      <formula>$B404&lt;&gt;"Choose provider from the list"</formula>
    </cfRule>
  </conditionalFormatting>
  <conditionalFormatting sqref="A406 C406">
    <cfRule type="expression" dxfId="504" priority="8">
      <formula>$B406&lt;&gt;"Total value of expenditure"</formula>
    </cfRule>
  </conditionalFormatting>
  <conditionalFormatting sqref="A26:C26">
    <cfRule type="expression" dxfId="503" priority="9151">
      <formula>$B$25&lt;&gt;"Proceed below"</formula>
    </cfRule>
  </conditionalFormatting>
  <conditionalFormatting sqref="A27:C30">
    <cfRule type="expression" dxfId="502" priority="9170">
      <formula>$B$25&lt;&gt;"Proceed below"</formula>
    </cfRule>
  </conditionalFormatting>
  <conditionalFormatting sqref="A31:C31">
    <cfRule type="expression" dxfId="501" priority="7099">
      <formula>$B$25&lt;&gt;"Proceed below"</formula>
    </cfRule>
  </conditionalFormatting>
  <conditionalFormatting sqref="A33:C33">
    <cfRule type="expression" dxfId="500" priority="9150">
      <formula>$B$32&lt;&gt;"Proceed below"</formula>
    </cfRule>
  </conditionalFormatting>
  <conditionalFormatting sqref="A34:C35">
    <cfRule type="expression" dxfId="499" priority="9168">
      <formula>$B$32&lt;&gt;"Proceed below"</formula>
    </cfRule>
  </conditionalFormatting>
  <conditionalFormatting sqref="A36:C36">
    <cfRule type="expression" dxfId="498" priority="7098">
      <formula>$B$32&lt;&gt;"Proceed below"</formula>
    </cfRule>
  </conditionalFormatting>
  <conditionalFormatting sqref="A38:C38">
    <cfRule type="expression" dxfId="497" priority="9149">
      <formula>$B$37&lt;&gt;"Proceed below"</formula>
    </cfRule>
  </conditionalFormatting>
  <conditionalFormatting sqref="A39:C43">
    <cfRule type="expression" dxfId="496" priority="9167">
      <formula>$B$37&lt;&gt;"Proceed below"</formula>
    </cfRule>
  </conditionalFormatting>
  <conditionalFormatting sqref="A44:C44">
    <cfRule type="expression" dxfId="495" priority="7097">
      <formula>$B$37&lt;&gt;"Proceed below"</formula>
    </cfRule>
  </conditionalFormatting>
  <conditionalFormatting sqref="A46:C46">
    <cfRule type="expression" dxfId="494" priority="9148">
      <formula>$B$45&lt;&gt;"Proceed below"</formula>
    </cfRule>
  </conditionalFormatting>
  <conditionalFormatting sqref="A47:C56">
    <cfRule type="expression" dxfId="493" priority="9166">
      <formula>$B$45&lt;&gt;"Proceed below"</formula>
    </cfRule>
  </conditionalFormatting>
  <conditionalFormatting sqref="A57:C57">
    <cfRule type="expression" dxfId="492" priority="7096">
      <formula>$B$45&lt;&gt;"Proceed below"</formula>
    </cfRule>
  </conditionalFormatting>
  <conditionalFormatting sqref="A59:C59">
    <cfRule type="expression" dxfId="491" priority="7095">
      <formula>$B$58&lt;&gt;"Proceed below"</formula>
    </cfRule>
  </conditionalFormatting>
  <conditionalFormatting sqref="A60:C68">
    <cfRule type="expression" dxfId="490" priority="9165">
      <formula>$B$58&lt;&gt;"Proceed below"</formula>
    </cfRule>
  </conditionalFormatting>
  <conditionalFormatting sqref="A69:C69">
    <cfRule type="expression" dxfId="489" priority="7094">
      <formula>$B$58&lt;&gt;"Proceed below"</formula>
    </cfRule>
  </conditionalFormatting>
  <conditionalFormatting sqref="A71:C71">
    <cfRule type="expression" dxfId="488" priority="9147">
      <formula>$B$70&lt;&gt;"Proceed below"</formula>
    </cfRule>
  </conditionalFormatting>
  <conditionalFormatting sqref="A72:C81">
    <cfRule type="expression" dxfId="487" priority="9164">
      <formula>$B$70&lt;&gt;"Proceed below"</formula>
    </cfRule>
  </conditionalFormatting>
  <conditionalFormatting sqref="A82:C82">
    <cfRule type="expression" dxfId="486" priority="7093">
      <formula>$B$70&lt;&gt;"Proceed below"</formula>
    </cfRule>
  </conditionalFormatting>
  <conditionalFormatting sqref="A84:C84">
    <cfRule type="expression" dxfId="485" priority="7092">
      <formula>$B$83&lt;&gt;"Proceed below"</formula>
    </cfRule>
  </conditionalFormatting>
  <conditionalFormatting sqref="A85:C93">
    <cfRule type="expression" dxfId="484" priority="9163">
      <formula>$B$83&lt;&gt;"Proceed below"</formula>
    </cfRule>
  </conditionalFormatting>
  <conditionalFormatting sqref="A94:C94">
    <cfRule type="expression" dxfId="483" priority="7091">
      <formula>$B$83&lt;&gt;"Proceed below"</formula>
    </cfRule>
  </conditionalFormatting>
  <conditionalFormatting sqref="A96:C96">
    <cfRule type="expression" dxfId="482" priority="9146">
      <formula>$B$95&lt;&gt;"Proceed below"</formula>
    </cfRule>
  </conditionalFormatting>
  <conditionalFormatting sqref="A97:C100">
    <cfRule type="expression" dxfId="481" priority="9162">
      <formula>$B$95&lt;&gt;"Proceed below"</formula>
    </cfRule>
  </conditionalFormatting>
  <conditionalFormatting sqref="A101:C101">
    <cfRule type="expression" dxfId="480" priority="7090">
      <formula>$B$95&lt;&gt;"Proceed below"</formula>
    </cfRule>
  </conditionalFormatting>
  <conditionalFormatting sqref="A103:C103">
    <cfRule type="expression" dxfId="479" priority="9145">
      <formula>$B$102&lt;&gt;"Proceed below"</formula>
    </cfRule>
  </conditionalFormatting>
  <conditionalFormatting sqref="A104:C105">
    <cfRule type="expression" dxfId="478" priority="9161">
      <formula>$B$102&lt;&gt;"Proceed below"</formula>
    </cfRule>
  </conditionalFormatting>
  <conditionalFormatting sqref="A106:C106">
    <cfRule type="expression" dxfId="477" priority="7089">
      <formula>$B$102&lt;&gt;"Proceed below"</formula>
    </cfRule>
  </conditionalFormatting>
  <conditionalFormatting sqref="A108:C108">
    <cfRule type="expression" dxfId="476" priority="9144">
      <formula>$B$107&lt;&gt;"Proceed below"</formula>
    </cfRule>
  </conditionalFormatting>
  <conditionalFormatting sqref="A109:C112">
    <cfRule type="expression" dxfId="475" priority="9160">
      <formula>$B$107&lt;&gt;"Proceed below"</formula>
    </cfRule>
  </conditionalFormatting>
  <conditionalFormatting sqref="A113:C113">
    <cfRule type="expression" dxfId="474" priority="7088">
      <formula>$B$107&lt;&gt;"Proceed below"</formula>
    </cfRule>
  </conditionalFormatting>
  <conditionalFormatting sqref="A115:C115">
    <cfRule type="expression" dxfId="473" priority="9143">
      <formula>$B$114&lt;&gt;"Proceed below"</formula>
    </cfRule>
  </conditionalFormatting>
  <conditionalFormatting sqref="A116:C122">
    <cfRule type="expression" dxfId="472" priority="9159">
      <formula>$B$114&lt;&gt;"Proceed below"</formula>
    </cfRule>
  </conditionalFormatting>
  <conditionalFormatting sqref="A123:C123">
    <cfRule type="expression" dxfId="471" priority="7087">
      <formula>$B$114&lt;&gt;"Proceed below"</formula>
    </cfRule>
  </conditionalFormatting>
  <conditionalFormatting sqref="A125:C125">
    <cfRule type="expression" dxfId="470" priority="7086">
      <formula>$B$124&lt;&gt;"Proceed below"</formula>
    </cfRule>
  </conditionalFormatting>
  <conditionalFormatting sqref="A126:C130">
    <cfRule type="expression" dxfId="469" priority="9158">
      <formula>$B$124&lt;&gt;"Proceed below"</formula>
    </cfRule>
  </conditionalFormatting>
  <conditionalFormatting sqref="A131:C131">
    <cfRule type="expression" dxfId="468" priority="7085">
      <formula>$B$124&lt;&gt;"Proceed below"</formula>
    </cfRule>
  </conditionalFormatting>
  <conditionalFormatting sqref="A133:C133">
    <cfRule type="expression" dxfId="467" priority="9142">
      <formula>$B$132&lt;&gt;"Proceed below"</formula>
    </cfRule>
  </conditionalFormatting>
  <conditionalFormatting sqref="A134:C140">
    <cfRule type="expression" dxfId="466" priority="9157">
      <formula>$B$132&lt;&gt;"Proceed below"</formula>
    </cfRule>
  </conditionalFormatting>
  <conditionalFormatting sqref="A141:C141">
    <cfRule type="expression" dxfId="465" priority="7084">
      <formula>$B$132&lt;&gt;"Proceed below"</formula>
    </cfRule>
  </conditionalFormatting>
  <conditionalFormatting sqref="A143:C143">
    <cfRule type="expression" dxfId="464" priority="9140">
      <formula>$B$142&lt;&gt;"Proceed below"</formula>
    </cfRule>
  </conditionalFormatting>
  <conditionalFormatting sqref="A144:C150">
    <cfRule type="expression" dxfId="463" priority="9141">
      <formula>$B$142&lt;&gt;"Proceed below"</formula>
    </cfRule>
  </conditionalFormatting>
  <conditionalFormatting sqref="A151:C151">
    <cfRule type="expression" dxfId="462" priority="7083">
      <formula>$B$142&lt;&gt;"Proceed below"</formula>
    </cfRule>
  </conditionalFormatting>
  <conditionalFormatting sqref="A153:C153">
    <cfRule type="expression" dxfId="461" priority="9139">
      <formula>$B$152&lt;&gt;"Proceed below"</formula>
    </cfRule>
  </conditionalFormatting>
  <conditionalFormatting sqref="A154:C156">
    <cfRule type="expression" dxfId="460" priority="9156">
      <formula>$B$152&lt;&gt;"Proceed below"</formula>
    </cfRule>
  </conditionalFormatting>
  <conditionalFormatting sqref="A157:C157">
    <cfRule type="expression" dxfId="459" priority="7082">
      <formula>$B$152&lt;&gt;"Proceed below"</formula>
    </cfRule>
  </conditionalFormatting>
  <conditionalFormatting sqref="A159:C159">
    <cfRule type="expression" dxfId="458" priority="9138">
      <formula>$B$158&lt;&gt;"Proceed below"</formula>
    </cfRule>
  </conditionalFormatting>
  <conditionalFormatting sqref="A160:C162">
    <cfRule type="expression" dxfId="457" priority="9137">
      <formula>$B$158&lt;&gt;"Proceed below"</formula>
    </cfRule>
  </conditionalFormatting>
  <conditionalFormatting sqref="A163:C163">
    <cfRule type="expression" dxfId="456" priority="7079">
      <formula>OR($B158&lt;&gt;"Proceed below",$C161="")</formula>
    </cfRule>
  </conditionalFormatting>
  <conditionalFormatting sqref="A165:C165">
    <cfRule type="expression" dxfId="455" priority="7076">
      <formula>$B$164&lt;&gt;"Choose provider from the list"</formula>
    </cfRule>
  </conditionalFormatting>
  <conditionalFormatting sqref="A167:C167">
    <cfRule type="expression" dxfId="454" priority="7073">
      <formula>$B166&lt;&gt;"Total value of expenditure"</formula>
    </cfRule>
  </conditionalFormatting>
  <conditionalFormatting sqref="A170:C170">
    <cfRule type="expression" dxfId="453" priority="6413">
      <formula>$B169&lt;&gt;"Choose provider from the list"</formula>
    </cfRule>
  </conditionalFormatting>
  <conditionalFormatting sqref="A172:C172">
    <cfRule type="expression" dxfId="452" priority="658">
      <formula>$B171&lt;&gt;"Total value of expenditure"</formula>
    </cfRule>
  </conditionalFormatting>
  <conditionalFormatting sqref="A175:C175">
    <cfRule type="expression" dxfId="451" priority="646">
      <formula>$B174&lt;&gt;"Choose provider from the list"</formula>
    </cfRule>
  </conditionalFormatting>
  <conditionalFormatting sqref="A177:C177">
    <cfRule type="expression" dxfId="450" priority="644">
      <formula>$B176&lt;&gt;"Total value of expenditure"</formula>
    </cfRule>
  </conditionalFormatting>
  <conditionalFormatting sqref="A180:C180">
    <cfRule type="expression" dxfId="449" priority="632">
      <formula>$B179&lt;&gt;"Choose provider from the list"</formula>
    </cfRule>
  </conditionalFormatting>
  <conditionalFormatting sqref="A182:C182">
    <cfRule type="expression" dxfId="448" priority="630">
      <formula>$B181&lt;&gt;"Total value of expenditure"</formula>
    </cfRule>
  </conditionalFormatting>
  <conditionalFormatting sqref="A185:C185">
    <cfRule type="expression" dxfId="447" priority="618">
      <formula>$B184&lt;&gt;"Choose provider from the list"</formula>
    </cfRule>
  </conditionalFormatting>
  <conditionalFormatting sqref="A187:C187">
    <cfRule type="expression" dxfId="446" priority="616">
      <formula>$B186&lt;&gt;"Total value of expenditure"</formula>
    </cfRule>
  </conditionalFormatting>
  <conditionalFormatting sqref="A190:C190">
    <cfRule type="expression" dxfId="445" priority="604">
      <formula>$B189&lt;&gt;"Choose provider from the list"</formula>
    </cfRule>
  </conditionalFormatting>
  <conditionalFormatting sqref="A192:C192">
    <cfRule type="expression" dxfId="444" priority="602">
      <formula>$B191&lt;&gt;"Total value of expenditure"</formula>
    </cfRule>
  </conditionalFormatting>
  <conditionalFormatting sqref="A195:C195">
    <cfRule type="expression" dxfId="443" priority="590">
      <formula>$B194&lt;&gt;"Choose provider from the list"</formula>
    </cfRule>
  </conditionalFormatting>
  <conditionalFormatting sqref="A197:C197">
    <cfRule type="expression" dxfId="442" priority="588">
      <formula>$B196&lt;&gt;"Total value of expenditure"</formula>
    </cfRule>
  </conditionalFormatting>
  <conditionalFormatting sqref="A200:C200">
    <cfRule type="expression" dxfId="441" priority="576">
      <formula>$B199&lt;&gt;"Choose provider from the list"</formula>
    </cfRule>
  </conditionalFormatting>
  <conditionalFormatting sqref="A202:C202">
    <cfRule type="expression" dxfId="440" priority="574">
      <formula>$B201&lt;&gt;"Total value of expenditure"</formula>
    </cfRule>
  </conditionalFormatting>
  <conditionalFormatting sqref="A205:C205">
    <cfRule type="expression" dxfId="439" priority="562">
      <formula>$B204&lt;&gt;"Choose provider from the list"</formula>
    </cfRule>
  </conditionalFormatting>
  <conditionalFormatting sqref="A207:C207">
    <cfRule type="expression" dxfId="438" priority="560">
      <formula>$B206&lt;&gt;"Total value of expenditure"</formula>
    </cfRule>
  </conditionalFormatting>
  <conditionalFormatting sqref="A210:C210">
    <cfRule type="expression" dxfId="437" priority="548">
      <formula>$B209&lt;&gt;"Choose provider from the list"</formula>
    </cfRule>
  </conditionalFormatting>
  <conditionalFormatting sqref="A212:C212">
    <cfRule type="expression" dxfId="436" priority="546">
      <formula>$B211&lt;&gt;"Total value of expenditure"</formula>
    </cfRule>
  </conditionalFormatting>
  <conditionalFormatting sqref="A215:C215">
    <cfRule type="expression" dxfId="435" priority="534">
      <formula>$B214&lt;&gt;"Choose provider from the list"</formula>
    </cfRule>
  </conditionalFormatting>
  <conditionalFormatting sqref="A217:C217">
    <cfRule type="expression" dxfId="434" priority="532">
      <formula>$B216&lt;&gt;"Total value of expenditure"</formula>
    </cfRule>
  </conditionalFormatting>
  <conditionalFormatting sqref="A220:C220">
    <cfRule type="expression" dxfId="433" priority="520">
      <formula>$B219&lt;&gt;"Choose provider from the list"</formula>
    </cfRule>
  </conditionalFormatting>
  <conditionalFormatting sqref="A222:C222">
    <cfRule type="expression" dxfId="432" priority="518">
      <formula>$B221&lt;&gt;"Total value of expenditure"</formula>
    </cfRule>
  </conditionalFormatting>
  <conditionalFormatting sqref="A225:C225">
    <cfRule type="expression" dxfId="431" priority="506">
      <formula>$B224&lt;&gt;"Choose provider from the list"</formula>
    </cfRule>
  </conditionalFormatting>
  <conditionalFormatting sqref="A227:C227">
    <cfRule type="expression" dxfId="430" priority="504">
      <formula>$B226&lt;&gt;"Total value of expenditure"</formula>
    </cfRule>
  </conditionalFormatting>
  <conditionalFormatting sqref="A230:C230">
    <cfRule type="expression" dxfId="429" priority="492">
      <formula>$B229&lt;&gt;"Choose provider from the list"</formula>
    </cfRule>
  </conditionalFormatting>
  <conditionalFormatting sqref="A232:C232">
    <cfRule type="expression" dxfId="428" priority="490">
      <formula>$B231&lt;&gt;"Total value of expenditure"</formula>
    </cfRule>
  </conditionalFormatting>
  <conditionalFormatting sqref="A235:C235">
    <cfRule type="expression" dxfId="427" priority="478">
      <formula>$B234&lt;&gt;"Choose provider from the list"</formula>
    </cfRule>
  </conditionalFormatting>
  <conditionalFormatting sqref="A237:C237">
    <cfRule type="expression" dxfId="426" priority="476">
      <formula>$B236&lt;&gt;"Total value of expenditure"</formula>
    </cfRule>
  </conditionalFormatting>
  <conditionalFormatting sqref="A240:C240">
    <cfRule type="expression" dxfId="425" priority="464">
      <formula>$B239&lt;&gt;"Choose provider from the list"</formula>
    </cfRule>
  </conditionalFormatting>
  <conditionalFormatting sqref="A242:C242">
    <cfRule type="expression" dxfId="424" priority="462">
      <formula>$B241&lt;&gt;"Total value of expenditure"</formula>
    </cfRule>
  </conditionalFormatting>
  <conditionalFormatting sqref="A245:C245">
    <cfRule type="expression" dxfId="423" priority="450">
      <formula>$B244&lt;&gt;"Choose provider from the list"</formula>
    </cfRule>
  </conditionalFormatting>
  <conditionalFormatting sqref="A247:C247">
    <cfRule type="expression" dxfId="422" priority="448">
      <formula>$B246&lt;&gt;"Total value of expenditure"</formula>
    </cfRule>
  </conditionalFormatting>
  <conditionalFormatting sqref="A250:C250">
    <cfRule type="expression" dxfId="421" priority="436">
      <formula>$B249&lt;&gt;"Choose provider from the list"</formula>
    </cfRule>
  </conditionalFormatting>
  <conditionalFormatting sqref="A252:C252">
    <cfRule type="expression" dxfId="420" priority="434">
      <formula>$B251&lt;&gt;"Total value of expenditure"</formula>
    </cfRule>
  </conditionalFormatting>
  <conditionalFormatting sqref="A255:C255">
    <cfRule type="expression" dxfId="419" priority="422">
      <formula>$B254&lt;&gt;"Choose provider from the list"</formula>
    </cfRule>
  </conditionalFormatting>
  <conditionalFormatting sqref="A257:C257">
    <cfRule type="expression" dxfId="418" priority="420">
      <formula>$B256&lt;&gt;"Total value of expenditure"</formula>
    </cfRule>
  </conditionalFormatting>
  <conditionalFormatting sqref="A260:C260">
    <cfRule type="expression" dxfId="417" priority="408">
      <formula>$B259&lt;&gt;"Choose provider from the list"</formula>
    </cfRule>
  </conditionalFormatting>
  <conditionalFormatting sqref="A262:C262">
    <cfRule type="expression" dxfId="416" priority="406">
      <formula>$B261&lt;&gt;"Total value of expenditure"</formula>
    </cfRule>
  </conditionalFormatting>
  <conditionalFormatting sqref="A265:C265">
    <cfRule type="expression" dxfId="415" priority="394">
      <formula>$B264&lt;&gt;"Choose provider from the list"</formula>
    </cfRule>
  </conditionalFormatting>
  <conditionalFormatting sqref="A267:C267">
    <cfRule type="expression" dxfId="414" priority="392">
      <formula>$B266&lt;&gt;"Total value of expenditure"</formula>
    </cfRule>
  </conditionalFormatting>
  <conditionalFormatting sqref="A270:C270">
    <cfRule type="expression" dxfId="413" priority="380">
      <formula>$B269&lt;&gt;"Choose provider from the list"</formula>
    </cfRule>
  </conditionalFormatting>
  <conditionalFormatting sqref="A272:C272">
    <cfRule type="expression" dxfId="412" priority="378">
      <formula>$B271&lt;&gt;"Total value of expenditure"</formula>
    </cfRule>
  </conditionalFormatting>
  <conditionalFormatting sqref="A275:C275">
    <cfRule type="expression" dxfId="411" priority="366">
      <formula>$B274&lt;&gt;"Choose provider from the list"</formula>
    </cfRule>
  </conditionalFormatting>
  <conditionalFormatting sqref="A277:C277">
    <cfRule type="expression" dxfId="410" priority="364">
      <formula>$B276&lt;&gt;"Total value of expenditure"</formula>
    </cfRule>
  </conditionalFormatting>
  <conditionalFormatting sqref="A280:C280">
    <cfRule type="expression" dxfId="409" priority="352">
      <formula>$B279&lt;&gt;"Choose provider from the list"</formula>
    </cfRule>
  </conditionalFormatting>
  <conditionalFormatting sqref="A282:C282">
    <cfRule type="expression" dxfId="408" priority="350">
      <formula>$B281&lt;&gt;"Total value of expenditure"</formula>
    </cfRule>
  </conditionalFormatting>
  <conditionalFormatting sqref="A285:C285">
    <cfRule type="expression" dxfId="407" priority="338">
      <formula>$B284&lt;&gt;"Choose provider from the list"</formula>
    </cfRule>
  </conditionalFormatting>
  <conditionalFormatting sqref="A287:C287">
    <cfRule type="expression" dxfId="406" priority="336">
      <formula>$B286&lt;&gt;"Total value of expenditure"</formula>
    </cfRule>
  </conditionalFormatting>
  <conditionalFormatting sqref="A290:C290">
    <cfRule type="expression" dxfId="405" priority="324">
      <formula>$B289&lt;&gt;"Choose provider from the list"</formula>
    </cfRule>
  </conditionalFormatting>
  <conditionalFormatting sqref="A292:C292">
    <cfRule type="expression" dxfId="404" priority="322">
      <formula>$B291&lt;&gt;"Total value of expenditure"</formula>
    </cfRule>
  </conditionalFormatting>
  <conditionalFormatting sqref="A295:C295">
    <cfRule type="expression" dxfId="403" priority="310">
      <formula>$B294&lt;&gt;"Choose provider from the list"</formula>
    </cfRule>
  </conditionalFormatting>
  <conditionalFormatting sqref="A297:C297">
    <cfRule type="expression" dxfId="402" priority="308">
      <formula>$B296&lt;&gt;"Total value of expenditure"</formula>
    </cfRule>
  </conditionalFormatting>
  <conditionalFormatting sqref="A300:C300">
    <cfRule type="expression" dxfId="401" priority="296">
      <formula>$B299&lt;&gt;"Choose provider from the list"</formula>
    </cfRule>
  </conditionalFormatting>
  <conditionalFormatting sqref="A302:C302">
    <cfRule type="expression" dxfId="400" priority="294">
      <formula>$B301&lt;&gt;"Total value of expenditure"</formula>
    </cfRule>
  </conditionalFormatting>
  <conditionalFormatting sqref="A305:C305">
    <cfRule type="expression" dxfId="399" priority="282">
      <formula>$B304&lt;&gt;"Choose provider from the list"</formula>
    </cfRule>
  </conditionalFormatting>
  <conditionalFormatting sqref="A307:C307">
    <cfRule type="expression" dxfId="398" priority="280">
      <formula>$B306&lt;&gt;"Total value of expenditure"</formula>
    </cfRule>
  </conditionalFormatting>
  <conditionalFormatting sqref="A310:C310">
    <cfRule type="expression" dxfId="397" priority="268">
      <formula>$B309&lt;&gt;"Choose provider from the list"</formula>
    </cfRule>
  </conditionalFormatting>
  <conditionalFormatting sqref="A312:C312">
    <cfRule type="expression" dxfId="396" priority="266">
      <formula>$B311&lt;&gt;"Total value of expenditure"</formula>
    </cfRule>
  </conditionalFormatting>
  <conditionalFormatting sqref="A315:C315">
    <cfRule type="expression" dxfId="395" priority="254">
      <formula>$B314&lt;&gt;"Choose provider from the list"</formula>
    </cfRule>
  </conditionalFormatting>
  <conditionalFormatting sqref="A317:C317">
    <cfRule type="expression" dxfId="394" priority="252">
      <formula>$B316&lt;&gt;"Total value of expenditure"</formula>
    </cfRule>
  </conditionalFormatting>
  <conditionalFormatting sqref="A320:C320">
    <cfRule type="expression" dxfId="393" priority="240">
      <formula>$B319&lt;&gt;"Choose provider from the list"</formula>
    </cfRule>
  </conditionalFormatting>
  <conditionalFormatting sqref="A322:C322">
    <cfRule type="expression" dxfId="392" priority="238">
      <formula>$B321&lt;&gt;"Total value of expenditure"</formula>
    </cfRule>
  </conditionalFormatting>
  <conditionalFormatting sqref="A325:C325">
    <cfRule type="expression" dxfId="391" priority="226">
      <formula>$B324&lt;&gt;"Choose provider from the list"</formula>
    </cfRule>
  </conditionalFormatting>
  <conditionalFormatting sqref="A327:C327">
    <cfRule type="expression" dxfId="390" priority="224">
      <formula>$B326&lt;&gt;"Total value of expenditure"</formula>
    </cfRule>
  </conditionalFormatting>
  <conditionalFormatting sqref="A330:C330">
    <cfRule type="expression" dxfId="389" priority="212">
      <formula>$B329&lt;&gt;"Choose provider from the list"</formula>
    </cfRule>
  </conditionalFormatting>
  <conditionalFormatting sqref="A332:C332">
    <cfRule type="expression" dxfId="388" priority="210">
      <formula>$B331&lt;&gt;"Total value of expenditure"</formula>
    </cfRule>
  </conditionalFormatting>
  <conditionalFormatting sqref="A335:C335">
    <cfRule type="expression" dxfId="387" priority="198">
      <formula>$B334&lt;&gt;"Choose provider from the list"</formula>
    </cfRule>
  </conditionalFormatting>
  <conditionalFormatting sqref="A337:C337">
    <cfRule type="expression" dxfId="386" priority="196">
      <formula>$B336&lt;&gt;"Total value of expenditure"</formula>
    </cfRule>
  </conditionalFormatting>
  <conditionalFormatting sqref="A340:C340">
    <cfRule type="expression" dxfId="385" priority="184">
      <formula>$B339&lt;&gt;"Choose provider from the list"</formula>
    </cfRule>
  </conditionalFormatting>
  <conditionalFormatting sqref="A342:C342">
    <cfRule type="expression" dxfId="384" priority="182">
      <formula>$B341&lt;&gt;"Total value of expenditure"</formula>
    </cfRule>
  </conditionalFormatting>
  <conditionalFormatting sqref="A345:C345">
    <cfRule type="expression" dxfId="383" priority="170">
      <formula>$B344&lt;&gt;"Choose provider from the list"</formula>
    </cfRule>
  </conditionalFormatting>
  <conditionalFormatting sqref="A347:C347">
    <cfRule type="expression" dxfId="382" priority="168">
      <formula>$B346&lt;&gt;"Total value of expenditure"</formula>
    </cfRule>
  </conditionalFormatting>
  <conditionalFormatting sqref="A350:C350">
    <cfRule type="expression" dxfId="381" priority="156">
      <formula>$B349&lt;&gt;"Choose provider from the list"</formula>
    </cfRule>
  </conditionalFormatting>
  <conditionalFormatting sqref="A352:C352">
    <cfRule type="expression" dxfId="380" priority="154">
      <formula>$B351&lt;&gt;"Total value of expenditure"</formula>
    </cfRule>
  </conditionalFormatting>
  <conditionalFormatting sqref="A355:C355">
    <cfRule type="expression" dxfId="379" priority="142">
      <formula>$B354&lt;&gt;"Choose provider from the list"</formula>
    </cfRule>
  </conditionalFormatting>
  <conditionalFormatting sqref="A357:C357">
    <cfRule type="expression" dxfId="378" priority="140">
      <formula>$B356&lt;&gt;"Total value of expenditure"</formula>
    </cfRule>
  </conditionalFormatting>
  <conditionalFormatting sqref="A360:C360">
    <cfRule type="expression" dxfId="377" priority="128">
      <formula>$B359&lt;&gt;"Choose provider from the list"</formula>
    </cfRule>
  </conditionalFormatting>
  <conditionalFormatting sqref="A362:C362">
    <cfRule type="expression" dxfId="376" priority="126">
      <formula>$B361&lt;&gt;"Total value of expenditure"</formula>
    </cfRule>
  </conditionalFormatting>
  <conditionalFormatting sqref="A365:C365">
    <cfRule type="expression" dxfId="375" priority="114">
      <formula>$B364&lt;&gt;"Choose provider from the list"</formula>
    </cfRule>
  </conditionalFormatting>
  <conditionalFormatting sqref="A367:C367">
    <cfRule type="expression" dxfId="374" priority="112">
      <formula>$B366&lt;&gt;"Total value of expenditure"</formula>
    </cfRule>
  </conditionalFormatting>
  <conditionalFormatting sqref="A370:C370">
    <cfRule type="expression" dxfId="373" priority="100">
      <formula>$B369&lt;&gt;"Choose provider from the list"</formula>
    </cfRule>
  </conditionalFormatting>
  <conditionalFormatting sqref="A372:C372">
    <cfRule type="expression" dxfId="372" priority="98">
      <formula>$B371&lt;&gt;"Total value of expenditure"</formula>
    </cfRule>
  </conditionalFormatting>
  <conditionalFormatting sqref="A375:C375">
    <cfRule type="expression" dxfId="371" priority="86">
      <formula>$B374&lt;&gt;"Choose provider from the list"</formula>
    </cfRule>
  </conditionalFormatting>
  <conditionalFormatting sqref="A377:C377">
    <cfRule type="expression" dxfId="370" priority="84">
      <formula>$B376&lt;&gt;"Total value of expenditure"</formula>
    </cfRule>
  </conditionalFormatting>
  <conditionalFormatting sqref="A380:C380">
    <cfRule type="expression" dxfId="369" priority="72">
      <formula>$B379&lt;&gt;"Choose provider from the list"</formula>
    </cfRule>
  </conditionalFormatting>
  <conditionalFormatting sqref="A382:C382">
    <cfRule type="expression" dxfId="368" priority="70">
      <formula>$B381&lt;&gt;"Total value of expenditure"</formula>
    </cfRule>
  </conditionalFormatting>
  <conditionalFormatting sqref="A385:C385">
    <cfRule type="expression" dxfId="367" priority="58">
      <formula>$B384&lt;&gt;"Choose provider from the list"</formula>
    </cfRule>
  </conditionalFormatting>
  <conditionalFormatting sqref="A387:C387">
    <cfRule type="expression" dxfId="366" priority="56">
      <formula>$B386&lt;&gt;"Total value of expenditure"</formula>
    </cfRule>
  </conditionalFormatting>
  <conditionalFormatting sqref="A390:C390">
    <cfRule type="expression" dxfId="365" priority="44">
      <formula>$B389&lt;&gt;"Choose provider from the list"</formula>
    </cfRule>
  </conditionalFormatting>
  <conditionalFormatting sqref="A392:C392">
    <cfRule type="expression" dxfId="364" priority="42">
      <formula>$B391&lt;&gt;"Total value of expenditure"</formula>
    </cfRule>
  </conditionalFormatting>
  <conditionalFormatting sqref="A395:C395">
    <cfRule type="expression" dxfId="363" priority="30">
      <formula>$B394&lt;&gt;"Choose provider from the list"</formula>
    </cfRule>
  </conditionalFormatting>
  <conditionalFormatting sqref="A397:C397">
    <cfRule type="expression" dxfId="362" priority="28">
      <formula>$B396&lt;&gt;"Total value of expenditure"</formula>
    </cfRule>
  </conditionalFormatting>
  <conditionalFormatting sqref="A400:C400">
    <cfRule type="expression" dxfId="361" priority="16">
      <formula>$B399&lt;&gt;"Choose provider from the list"</formula>
    </cfRule>
  </conditionalFormatting>
  <conditionalFormatting sqref="A402:C402">
    <cfRule type="expression" dxfId="360" priority="14">
      <formula>$B401&lt;&gt;"Total value of expenditure"</formula>
    </cfRule>
  </conditionalFormatting>
  <conditionalFormatting sqref="A405:C405">
    <cfRule type="expression" dxfId="359" priority="2">
      <formula>$B404&lt;&gt;"Choose provider from the list"</formula>
    </cfRule>
  </conditionalFormatting>
  <conditionalFormatting sqref="B164">
    <cfRule type="expression" dxfId="358" priority="7077">
      <formula>$B$164&lt;&gt;"Choose provider from the list"</formula>
    </cfRule>
  </conditionalFormatting>
  <conditionalFormatting sqref="B166">
    <cfRule type="expression" dxfId="357" priority="7074">
      <formula>$B166&lt;&gt;"Total value of expenditure"</formula>
    </cfRule>
  </conditionalFormatting>
  <conditionalFormatting sqref="B169">
    <cfRule type="expression" dxfId="356" priority="7070">
      <formula>$B169&lt;&gt;"Choose provider from the list"</formula>
    </cfRule>
  </conditionalFormatting>
  <conditionalFormatting sqref="B171">
    <cfRule type="expression" dxfId="355" priority="7067">
      <formula>$B171&lt;&gt;"Total value of expenditure"</formula>
    </cfRule>
    <cfRule type="expression" dxfId="354" priority="7052">
      <formula>$B171="Please revise entries or contact OLSC for assistance"</formula>
    </cfRule>
    <cfRule type="expression" dxfId="353" priority="7053">
      <formula>$B171="Entry Form complete - proceed to Summary sheet"</formula>
    </cfRule>
  </conditionalFormatting>
  <conditionalFormatting sqref="B174">
    <cfRule type="expression" dxfId="352" priority="655">
      <formula>$B174&lt;&gt;"Choose provider from the list"</formula>
    </cfRule>
  </conditionalFormatting>
  <conditionalFormatting sqref="B176">
    <cfRule type="expression" dxfId="351" priority="648">
      <formula>$B176="Entry Form complete - proceed to Summary sheet"</formula>
    </cfRule>
    <cfRule type="expression" dxfId="350" priority="647">
      <formula>$B176="Please revise entries or contact OLSC for assistance"</formula>
    </cfRule>
    <cfRule type="expression" dxfId="349" priority="653">
      <formula>$B176&lt;&gt;"Total value of expenditure"</formula>
    </cfRule>
  </conditionalFormatting>
  <conditionalFormatting sqref="B179">
    <cfRule type="expression" dxfId="348" priority="641">
      <formula>$B179&lt;&gt;"Choose provider from the list"</formula>
    </cfRule>
  </conditionalFormatting>
  <conditionalFormatting sqref="B181">
    <cfRule type="expression" dxfId="347" priority="639">
      <formula>$B181&lt;&gt;"Total value of expenditure"</formula>
    </cfRule>
    <cfRule type="expression" dxfId="346" priority="634">
      <formula>$B181="Entry Form complete - proceed to Summary sheet"</formula>
    </cfRule>
    <cfRule type="expression" dxfId="345" priority="633">
      <formula>$B181="Please revise entries or contact OLSC for assistance"</formula>
    </cfRule>
  </conditionalFormatting>
  <conditionalFormatting sqref="B184">
    <cfRule type="expression" dxfId="344" priority="627">
      <formula>$B184&lt;&gt;"Choose provider from the list"</formula>
    </cfRule>
  </conditionalFormatting>
  <conditionalFormatting sqref="B186">
    <cfRule type="expression" dxfId="343" priority="619">
      <formula>$B186="Please revise entries or contact OLSC for assistance"</formula>
    </cfRule>
    <cfRule type="expression" dxfId="342" priority="620">
      <formula>$B186="Entry Form complete - proceed to Summary sheet"</formula>
    </cfRule>
    <cfRule type="expression" dxfId="341" priority="625">
      <formula>$B186&lt;&gt;"Total value of expenditure"</formula>
    </cfRule>
  </conditionalFormatting>
  <conditionalFormatting sqref="B189">
    <cfRule type="expression" dxfId="340" priority="613">
      <formula>$B189&lt;&gt;"Choose provider from the list"</formula>
    </cfRule>
  </conditionalFormatting>
  <conditionalFormatting sqref="B191">
    <cfRule type="expression" dxfId="339" priority="611">
      <formula>$B191&lt;&gt;"Total value of expenditure"</formula>
    </cfRule>
    <cfRule type="expression" dxfId="338" priority="605">
      <formula>$B191="Please revise entries or contact OLSC for assistance"</formula>
    </cfRule>
    <cfRule type="expression" dxfId="337" priority="606">
      <formula>$B191="Entry Form complete - proceed to Summary sheet"</formula>
    </cfRule>
  </conditionalFormatting>
  <conditionalFormatting sqref="B194">
    <cfRule type="expression" dxfId="336" priority="599">
      <formula>$B194&lt;&gt;"Choose provider from the list"</formula>
    </cfRule>
  </conditionalFormatting>
  <conditionalFormatting sqref="B196">
    <cfRule type="expression" dxfId="335" priority="597">
      <formula>$B196&lt;&gt;"Total value of expenditure"</formula>
    </cfRule>
    <cfRule type="expression" dxfId="334" priority="592">
      <formula>$B196="Entry Form complete - proceed to Summary sheet"</formula>
    </cfRule>
    <cfRule type="expression" dxfId="333" priority="591">
      <formula>$B196="Please revise entries or contact OLSC for assistance"</formula>
    </cfRule>
  </conditionalFormatting>
  <conditionalFormatting sqref="B199">
    <cfRule type="expression" dxfId="332" priority="585">
      <formula>$B199&lt;&gt;"Choose provider from the list"</formula>
    </cfRule>
  </conditionalFormatting>
  <conditionalFormatting sqref="B201">
    <cfRule type="expression" dxfId="331" priority="583">
      <formula>$B201&lt;&gt;"Total value of expenditure"</formula>
    </cfRule>
    <cfRule type="expression" dxfId="330" priority="578">
      <formula>$B201="Entry Form complete - proceed to Summary sheet"</formula>
    </cfRule>
    <cfRule type="expression" dxfId="329" priority="577">
      <formula>$B201="Please revise entries or contact OLSC for assistance"</formula>
    </cfRule>
  </conditionalFormatting>
  <conditionalFormatting sqref="B204">
    <cfRule type="expression" dxfId="328" priority="571">
      <formula>$B204&lt;&gt;"Choose provider from the list"</formula>
    </cfRule>
  </conditionalFormatting>
  <conditionalFormatting sqref="B206">
    <cfRule type="expression" dxfId="327" priority="569">
      <formula>$B206&lt;&gt;"Total value of expenditure"</formula>
    </cfRule>
    <cfRule type="expression" dxfId="326" priority="564">
      <formula>$B206="Entry Form complete - proceed to Summary sheet"</formula>
    </cfRule>
    <cfRule type="expression" dxfId="325" priority="563">
      <formula>$B206="Please revise entries or contact OLSC for assistance"</formula>
    </cfRule>
  </conditionalFormatting>
  <conditionalFormatting sqref="B209">
    <cfRule type="expression" dxfId="324" priority="557">
      <formula>$B209&lt;&gt;"Choose provider from the list"</formula>
    </cfRule>
  </conditionalFormatting>
  <conditionalFormatting sqref="B211">
    <cfRule type="expression" dxfId="323" priority="555">
      <formula>$B211&lt;&gt;"Total value of expenditure"</formula>
    </cfRule>
    <cfRule type="expression" dxfId="322" priority="550">
      <formula>$B211="Entry Form complete - proceed to Summary sheet"</formula>
    </cfRule>
    <cfRule type="expression" dxfId="321" priority="549">
      <formula>$B211="Please revise entries or contact OLSC for assistance"</formula>
    </cfRule>
  </conditionalFormatting>
  <conditionalFormatting sqref="B214">
    <cfRule type="expression" dxfId="320" priority="543">
      <formula>$B214&lt;&gt;"Choose provider from the list"</formula>
    </cfRule>
  </conditionalFormatting>
  <conditionalFormatting sqref="B216">
    <cfRule type="expression" dxfId="319" priority="536">
      <formula>$B216="Entry Form complete - proceed to Summary sheet"</formula>
    </cfRule>
    <cfRule type="expression" dxfId="318" priority="535">
      <formula>$B216="Please revise entries or contact OLSC for assistance"</formula>
    </cfRule>
    <cfRule type="expression" dxfId="317" priority="541">
      <formula>$B216&lt;&gt;"Total value of expenditure"</formula>
    </cfRule>
  </conditionalFormatting>
  <conditionalFormatting sqref="B219">
    <cfRule type="expression" dxfId="316" priority="529">
      <formula>$B219&lt;&gt;"Choose provider from the list"</formula>
    </cfRule>
  </conditionalFormatting>
  <conditionalFormatting sqref="B221">
    <cfRule type="expression" dxfId="315" priority="522">
      <formula>$B221="Entry Form complete - proceed to Summary sheet"</formula>
    </cfRule>
    <cfRule type="expression" dxfId="314" priority="521">
      <formula>$B221="Please revise entries or contact OLSC for assistance"</formula>
    </cfRule>
    <cfRule type="expression" dxfId="313" priority="527">
      <formula>$B221&lt;&gt;"Total value of expenditure"</formula>
    </cfRule>
  </conditionalFormatting>
  <conditionalFormatting sqref="B224">
    <cfRule type="expression" dxfId="312" priority="515">
      <formula>$B224&lt;&gt;"Choose provider from the list"</formula>
    </cfRule>
  </conditionalFormatting>
  <conditionalFormatting sqref="B226">
    <cfRule type="expression" dxfId="311" priority="508">
      <formula>$B226="Entry Form complete - proceed to Summary sheet"</formula>
    </cfRule>
    <cfRule type="expression" dxfId="310" priority="507">
      <formula>$B226="Please revise entries or contact OLSC for assistance"</formula>
    </cfRule>
    <cfRule type="expression" dxfId="309" priority="513">
      <formula>$B226&lt;&gt;"Total value of expenditure"</formula>
    </cfRule>
  </conditionalFormatting>
  <conditionalFormatting sqref="B229">
    <cfRule type="expression" dxfId="308" priority="501">
      <formula>$B229&lt;&gt;"Choose provider from the list"</formula>
    </cfRule>
  </conditionalFormatting>
  <conditionalFormatting sqref="B231">
    <cfRule type="expression" dxfId="307" priority="499">
      <formula>$B231&lt;&gt;"Total value of expenditure"</formula>
    </cfRule>
    <cfRule type="expression" dxfId="306" priority="494">
      <formula>$B231="Entry Form complete - proceed to Summary sheet"</formula>
    </cfRule>
    <cfRule type="expression" dxfId="305" priority="493">
      <formula>$B231="Please revise entries or contact OLSC for assistance"</formula>
    </cfRule>
  </conditionalFormatting>
  <conditionalFormatting sqref="B234">
    <cfRule type="expression" dxfId="304" priority="487">
      <formula>$B234&lt;&gt;"Choose provider from the list"</formula>
    </cfRule>
  </conditionalFormatting>
  <conditionalFormatting sqref="B236">
    <cfRule type="expression" dxfId="303" priority="479">
      <formula>$B236="Please revise entries or contact OLSC for assistance"</formula>
    </cfRule>
    <cfRule type="expression" dxfId="302" priority="480">
      <formula>$B236="Entry Form complete - proceed to Summary sheet"</formula>
    </cfRule>
    <cfRule type="expression" dxfId="301" priority="485">
      <formula>$B236&lt;&gt;"Total value of expenditure"</formula>
    </cfRule>
  </conditionalFormatting>
  <conditionalFormatting sqref="B239">
    <cfRule type="expression" dxfId="300" priority="473">
      <formula>$B239&lt;&gt;"Choose provider from the list"</formula>
    </cfRule>
  </conditionalFormatting>
  <conditionalFormatting sqref="B241">
    <cfRule type="expression" dxfId="299" priority="466">
      <formula>$B241="Entry Form complete - proceed to Summary sheet"</formula>
    </cfRule>
    <cfRule type="expression" dxfId="298" priority="471">
      <formula>$B241&lt;&gt;"Total value of expenditure"</formula>
    </cfRule>
    <cfRule type="expression" dxfId="297" priority="465">
      <formula>$B241="Please revise entries or contact OLSC for assistance"</formula>
    </cfRule>
  </conditionalFormatting>
  <conditionalFormatting sqref="B244">
    <cfRule type="expression" dxfId="296" priority="459">
      <formula>$B244&lt;&gt;"Choose provider from the list"</formula>
    </cfRule>
  </conditionalFormatting>
  <conditionalFormatting sqref="B246">
    <cfRule type="expression" dxfId="295" priority="452">
      <formula>$B246="Entry Form complete - proceed to Summary sheet"</formula>
    </cfRule>
    <cfRule type="expression" dxfId="294" priority="457">
      <formula>$B246&lt;&gt;"Total value of expenditure"</formula>
    </cfRule>
    <cfRule type="expression" dxfId="293" priority="451">
      <formula>$B246="Please revise entries or contact OLSC for assistance"</formula>
    </cfRule>
  </conditionalFormatting>
  <conditionalFormatting sqref="B249">
    <cfRule type="expression" dxfId="292" priority="445">
      <formula>$B249&lt;&gt;"Choose provider from the list"</formula>
    </cfRule>
  </conditionalFormatting>
  <conditionalFormatting sqref="B251">
    <cfRule type="expression" dxfId="291" priority="443">
      <formula>$B251&lt;&gt;"Total value of expenditure"</formula>
    </cfRule>
    <cfRule type="expression" dxfId="290" priority="438">
      <formula>$B251="Entry Form complete - proceed to Summary sheet"</formula>
    </cfRule>
    <cfRule type="expression" dxfId="289" priority="437">
      <formula>$B251="Please revise entries or contact OLSC for assistance"</formula>
    </cfRule>
  </conditionalFormatting>
  <conditionalFormatting sqref="B254">
    <cfRule type="expression" dxfId="288" priority="431">
      <formula>$B254&lt;&gt;"Choose provider from the list"</formula>
    </cfRule>
  </conditionalFormatting>
  <conditionalFormatting sqref="B256">
    <cfRule type="expression" dxfId="287" priority="424">
      <formula>$B256="Entry Form complete - proceed to Summary sheet"</formula>
    </cfRule>
    <cfRule type="expression" dxfId="286" priority="423">
      <formula>$B256="Please revise entries or contact OLSC for assistance"</formula>
    </cfRule>
    <cfRule type="expression" dxfId="285" priority="429">
      <formula>$B256&lt;&gt;"Total value of expenditure"</formula>
    </cfRule>
  </conditionalFormatting>
  <conditionalFormatting sqref="B259">
    <cfRule type="expression" dxfId="284" priority="417">
      <formula>$B259&lt;&gt;"Choose provider from the list"</formula>
    </cfRule>
  </conditionalFormatting>
  <conditionalFormatting sqref="B261">
    <cfRule type="expression" dxfId="283" priority="415">
      <formula>$B261&lt;&gt;"Total value of expenditure"</formula>
    </cfRule>
    <cfRule type="expression" dxfId="282" priority="410">
      <formula>$B261="Entry Form complete - proceed to Summary sheet"</formula>
    </cfRule>
    <cfRule type="expression" dxfId="281" priority="409">
      <formula>$B261="Please revise entries or contact OLSC for assistance"</formula>
    </cfRule>
  </conditionalFormatting>
  <conditionalFormatting sqref="B264">
    <cfRule type="expression" dxfId="280" priority="403">
      <formula>$B264&lt;&gt;"Choose provider from the list"</formula>
    </cfRule>
  </conditionalFormatting>
  <conditionalFormatting sqref="B266">
    <cfRule type="expression" dxfId="279" priority="395">
      <formula>$B266="Please revise entries or contact OLSC for assistance"</formula>
    </cfRule>
    <cfRule type="expression" dxfId="278" priority="396">
      <formula>$B266="Entry Form complete - proceed to Summary sheet"</formula>
    </cfRule>
    <cfRule type="expression" dxfId="277" priority="401">
      <formula>$B266&lt;&gt;"Total value of expenditure"</formula>
    </cfRule>
  </conditionalFormatting>
  <conditionalFormatting sqref="B269">
    <cfRule type="expression" dxfId="276" priority="389">
      <formula>$B269&lt;&gt;"Choose provider from the list"</formula>
    </cfRule>
  </conditionalFormatting>
  <conditionalFormatting sqref="B271">
    <cfRule type="expression" dxfId="275" priority="382">
      <formula>$B271="Entry Form complete - proceed to Summary sheet"</formula>
    </cfRule>
    <cfRule type="expression" dxfId="274" priority="381">
      <formula>$B271="Please revise entries or contact OLSC for assistance"</formula>
    </cfRule>
    <cfRule type="expression" dxfId="273" priority="387">
      <formula>$B271&lt;&gt;"Total value of expenditure"</formula>
    </cfRule>
  </conditionalFormatting>
  <conditionalFormatting sqref="B274">
    <cfRule type="expression" dxfId="272" priority="375">
      <formula>$B274&lt;&gt;"Choose provider from the list"</formula>
    </cfRule>
  </conditionalFormatting>
  <conditionalFormatting sqref="B276">
    <cfRule type="expression" dxfId="271" priority="367">
      <formula>$B276="Please revise entries or contact OLSC for assistance"</formula>
    </cfRule>
    <cfRule type="expression" dxfId="270" priority="368">
      <formula>$B276="Entry Form complete - proceed to Summary sheet"</formula>
    </cfRule>
    <cfRule type="expression" dxfId="269" priority="373">
      <formula>$B276&lt;&gt;"Total value of expenditure"</formula>
    </cfRule>
  </conditionalFormatting>
  <conditionalFormatting sqref="B279">
    <cfRule type="expression" dxfId="268" priority="361">
      <formula>$B279&lt;&gt;"Choose provider from the list"</formula>
    </cfRule>
  </conditionalFormatting>
  <conditionalFormatting sqref="B281">
    <cfRule type="expression" dxfId="267" priority="353">
      <formula>$B281="Please revise entries or contact OLSC for assistance"</formula>
    </cfRule>
    <cfRule type="expression" dxfId="266" priority="354">
      <formula>$B281="Entry Form complete - proceed to Summary sheet"</formula>
    </cfRule>
    <cfRule type="expression" dxfId="265" priority="359">
      <formula>$B281&lt;&gt;"Total value of expenditure"</formula>
    </cfRule>
  </conditionalFormatting>
  <conditionalFormatting sqref="B284">
    <cfRule type="expression" dxfId="264" priority="347">
      <formula>$B284&lt;&gt;"Choose provider from the list"</formula>
    </cfRule>
  </conditionalFormatting>
  <conditionalFormatting sqref="B286">
    <cfRule type="expression" dxfId="263" priority="345">
      <formula>$B286&lt;&gt;"Total value of expenditure"</formula>
    </cfRule>
    <cfRule type="expression" dxfId="262" priority="339">
      <formula>$B286="Please revise entries or contact OLSC for assistance"</formula>
    </cfRule>
    <cfRule type="expression" dxfId="261" priority="340">
      <formula>$B286="Entry Form complete - proceed to Summary sheet"</formula>
    </cfRule>
  </conditionalFormatting>
  <conditionalFormatting sqref="B289">
    <cfRule type="expression" dxfId="260" priority="333">
      <formula>$B289&lt;&gt;"Choose provider from the list"</formula>
    </cfRule>
  </conditionalFormatting>
  <conditionalFormatting sqref="B291">
    <cfRule type="expression" dxfId="259" priority="331">
      <formula>$B291&lt;&gt;"Total value of expenditure"</formula>
    </cfRule>
    <cfRule type="expression" dxfId="258" priority="325">
      <formula>$B291="Please revise entries or contact OLSC for assistance"</formula>
    </cfRule>
    <cfRule type="expression" dxfId="257" priority="326">
      <formula>$B291="Entry Form complete - proceed to Summary sheet"</formula>
    </cfRule>
  </conditionalFormatting>
  <conditionalFormatting sqref="B294">
    <cfRule type="expression" dxfId="256" priority="319">
      <formula>$B294&lt;&gt;"Choose provider from the list"</formula>
    </cfRule>
  </conditionalFormatting>
  <conditionalFormatting sqref="B296">
    <cfRule type="expression" dxfId="255" priority="311">
      <formula>$B296="Please revise entries or contact OLSC for assistance"</formula>
    </cfRule>
    <cfRule type="expression" dxfId="254" priority="317">
      <formula>$B296&lt;&gt;"Total value of expenditure"</formula>
    </cfRule>
    <cfRule type="expression" dxfId="253" priority="312">
      <formula>$B296="Entry Form complete - proceed to Summary sheet"</formula>
    </cfRule>
  </conditionalFormatting>
  <conditionalFormatting sqref="B299">
    <cfRule type="expression" dxfId="252" priority="305">
      <formula>$B299&lt;&gt;"Choose provider from the list"</formula>
    </cfRule>
  </conditionalFormatting>
  <conditionalFormatting sqref="B301">
    <cfRule type="expression" dxfId="251" priority="297">
      <formula>$B301="Please revise entries or contact OLSC for assistance"</formula>
    </cfRule>
    <cfRule type="expression" dxfId="250" priority="298">
      <formula>$B301="Entry Form complete - proceed to Summary sheet"</formula>
    </cfRule>
    <cfRule type="expression" dxfId="249" priority="303">
      <formula>$B301&lt;&gt;"Total value of expenditure"</formula>
    </cfRule>
  </conditionalFormatting>
  <conditionalFormatting sqref="B304">
    <cfRule type="expression" dxfId="248" priority="291">
      <formula>$B304&lt;&gt;"Choose provider from the list"</formula>
    </cfRule>
  </conditionalFormatting>
  <conditionalFormatting sqref="B306">
    <cfRule type="expression" dxfId="247" priority="284">
      <formula>$B306="Entry Form complete - proceed to Summary sheet"</formula>
    </cfRule>
    <cfRule type="expression" dxfId="246" priority="283">
      <formula>$B306="Please revise entries or contact OLSC for assistance"</formula>
    </cfRule>
    <cfRule type="expression" dxfId="245" priority="289">
      <formula>$B306&lt;&gt;"Total value of expenditure"</formula>
    </cfRule>
  </conditionalFormatting>
  <conditionalFormatting sqref="B309">
    <cfRule type="expression" dxfId="244" priority="277">
      <formula>$B309&lt;&gt;"Choose provider from the list"</formula>
    </cfRule>
  </conditionalFormatting>
  <conditionalFormatting sqref="B311">
    <cfRule type="expression" dxfId="243" priority="270">
      <formula>$B311="Entry Form complete - proceed to Summary sheet"</formula>
    </cfRule>
    <cfRule type="expression" dxfId="242" priority="269">
      <formula>$B311="Please revise entries or contact OLSC for assistance"</formula>
    </cfRule>
    <cfRule type="expression" dxfId="241" priority="275">
      <formula>$B311&lt;&gt;"Total value of expenditure"</formula>
    </cfRule>
  </conditionalFormatting>
  <conditionalFormatting sqref="B314">
    <cfRule type="expression" dxfId="240" priority="263">
      <formula>$B314&lt;&gt;"Choose provider from the list"</formula>
    </cfRule>
  </conditionalFormatting>
  <conditionalFormatting sqref="B316">
    <cfRule type="expression" dxfId="239" priority="256">
      <formula>$B316="Entry Form complete - proceed to Summary sheet"</formula>
    </cfRule>
    <cfRule type="expression" dxfId="238" priority="261">
      <formula>$B316&lt;&gt;"Total value of expenditure"</formula>
    </cfRule>
    <cfRule type="expression" dxfId="237" priority="255">
      <formula>$B316="Please revise entries or contact OLSC for assistance"</formula>
    </cfRule>
  </conditionalFormatting>
  <conditionalFormatting sqref="B319">
    <cfRule type="expression" dxfId="236" priority="249">
      <formula>$B319&lt;&gt;"Choose provider from the list"</formula>
    </cfRule>
  </conditionalFormatting>
  <conditionalFormatting sqref="B321">
    <cfRule type="expression" dxfId="235" priority="241">
      <formula>$B321="Please revise entries or contact OLSC for assistance"</formula>
    </cfRule>
    <cfRule type="expression" dxfId="234" priority="242">
      <formula>$B321="Entry Form complete - proceed to Summary sheet"</formula>
    </cfRule>
    <cfRule type="expression" dxfId="233" priority="247">
      <formula>$B321&lt;&gt;"Total value of expenditure"</formula>
    </cfRule>
  </conditionalFormatting>
  <conditionalFormatting sqref="B324">
    <cfRule type="expression" dxfId="232" priority="235">
      <formula>$B324&lt;&gt;"Choose provider from the list"</formula>
    </cfRule>
  </conditionalFormatting>
  <conditionalFormatting sqref="B326">
    <cfRule type="expression" dxfId="231" priority="227">
      <formula>$B326="Please revise entries or contact OLSC for assistance"</formula>
    </cfRule>
    <cfRule type="expression" dxfId="230" priority="233">
      <formula>$B326&lt;&gt;"Total value of expenditure"</formula>
    </cfRule>
    <cfRule type="expression" dxfId="229" priority="228">
      <formula>$B326="Entry Form complete - proceed to Summary sheet"</formula>
    </cfRule>
  </conditionalFormatting>
  <conditionalFormatting sqref="B329">
    <cfRule type="expression" dxfId="228" priority="221">
      <formula>$B329&lt;&gt;"Choose provider from the list"</formula>
    </cfRule>
  </conditionalFormatting>
  <conditionalFormatting sqref="B331">
    <cfRule type="expression" dxfId="227" priority="214">
      <formula>$B331="Entry Form complete - proceed to Summary sheet"</formula>
    </cfRule>
    <cfRule type="expression" dxfId="226" priority="213">
      <formula>$B331="Please revise entries or contact OLSC for assistance"</formula>
    </cfRule>
    <cfRule type="expression" dxfId="225" priority="219">
      <formula>$B331&lt;&gt;"Total value of expenditure"</formula>
    </cfRule>
  </conditionalFormatting>
  <conditionalFormatting sqref="B334">
    <cfRule type="expression" dxfId="224" priority="207">
      <formula>$B334&lt;&gt;"Choose provider from the list"</formula>
    </cfRule>
  </conditionalFormatting>
  <conditionalFormatting sqref="B336">
    <cfRule type="expression" dxfId="223" priority="199">
      <formula>$B336="Please revise entries or contact OLSC for assistance"</formula>
    </cfRule>
    <cfRule type="expression" dxfId="222" priority="205">
      <formula>$B336&lt;&gt;"Total value of expenditure"</formula>
    </cfRule>
    <cfRule type="expression" dxfId="221" priority="200">
      <formula>$B336="Entry Form complete - proceed to Summary sheet"</formula>
    </cfRule>
  </conditionalFormatting>
  <conditionalFormatting sqref="B339">
    <cfRule type="expression" dxfId="220" priority="193">
      <formula>$B339&lt;&gt;"Choose provider from the list"</formula>
    </cfRule>
  </conditionalFormatting>
  <conditionalFormatting sqref="B341">
    <cfRule type="expression" dxfId="219" priority="186">
      <formula>$B341="Entry Form complete - proceed to Summary sheet"</formula>
    </cfRule>
    <cfRule type="expression" dxfId="218" priority="191">
      <formula>$B341&lt;&gt;"Total value of expenditure"</formula>
    </cfRule>
    <cfRule type="expression" dxfId="217" priority="185">
      <formula>$B341="Please revise entries or contact OLSC for assistance"</formula>
    </cfRule>
  </conditionalFormatting>
  <conditionalFormatting sqref="B344">
    <cfRule type="expression" dxfId="216" priority="179">
      <formula>$B344&lt;&gt;"Choose provider from the list"</formula>
    </cfRule>
  </conditionalFormatting>
  <conditionalFormatting sqref="B346">
    <cfRule type="expression" dxfId="215" priority="171">
      <formula>$B346="Please revise entries or contact OLSC for assistance"</formula>
    </cfRule>
    <cfRule type="expression" dxfId="214" priority="172">
      <formula>$B346="Entry Form complete - proceed to Summary sheet"</formula>
    </cfRule>
    <cfRule type="expression" dxfId="213" priority="177">
      <formula>$B346&lt;&gt;"Total value of expenditure"</formula>
    </cfRule>
  </conditionalFormatting>
  <conditionalFormatting sqref="B349">
    <cfRule type="expression" dxfId="212" priority="165">
      <formula>$B349&lt;&gt;"Choose provider from the list"</formula>
    </cfRule>
  </conditionalFormatting>
  <conditionalFormatting sqref="B351">
    <cfRule type="expression" dxfId="211" priority="157">
      <formula>$B351="Please revise entries or contact OLSC for assistance"</formula>
    </cfRule>
    <cfRule type="expression" dxfId="210" priority="163">
      <formula>$B351&lt;&gt;"Total value of expenditure"</formula>
    </cfRule>
    <cfRule type="expression" dxfId="209" priority="158">
      <formula>$B351="Entry Form complete - proceed to Summary sheet"</formula>
    </cfRule>
  </conditionalFormatting>
  <conditionalFormatting sqref="B354">
    <cfRule type="expression" dxfId="208" priority="151">
      <formula>$B354&lt;&gt;"Choose provider from the list"</formula>
    </cfRule>
  </conditionalFormatting>
  <conditionalFormatting sqref="B356">
    <cfRule type="expression" dxfId="207" priority="144">
      <formula>$B356="Entry Form complete - proceed to Summary sheet"</formula>
    </cfRule>
    <cfRule type="expression" dxfId="206" priority="149">
      <formula>$B356&lt;&gt;"Total value of expenditure"</formula>
    </cfRule>
    <cfRule type="expression" dxfId="205" priority="143">
      <formula>$B356="Please revise entries or contact OLSC for assistance"</formula>
    </cfRule>
  </conditionalFormatting>
  <conditionalFormatting sqref="B359">
    <cfRule type="expression" dxfId="204" priority="137">
      <formula>$B359&lt;&gt;"Choose provider from the list"</formula>
    </cfRule>
  </conditionalFormatting>
  <conditionalFormatting sqref="B361">
    <cfRule type="expression" dxfId="203" priority="129">
      <formula>$B361="Please revise entries or contact OLSC for assistance"</formula>
    </cfRule>
    <cfRule type="expression" dxfId="202" priority="135">
      <formula>$B361&lt;&gt;"Total value of expenditure"</formula>
    </cfRule>
    <cfRule type="expression" dxfId="201" priority="130">
      <formula>$B361="Entry Form complete - proceed to Summary sheet"</formula>
    </cfRule>
  </conditionalFormatting>
  <conditionalFormatting sqref="B364">
    <cfRule type="expression" dxfId="200" priority="123">
      <formula>$B364&lt;&gt;"Choose provider from the list"</formula>
    </cfRule>
  </conditionalFormatting>
  <conditionalFormatting sqref="B366">
    <cfRule type="expression" dxfId="199" priority="121">
      <formula>$B366&lt;&gt;"Total value of expenditure"</formula>
    </cfRule>
    <cfRule type="expression" dxfId="198" priority="116">
      <formula>$B366="Entry Form complete - proceed to Summary sheet"</formula>
    </cfRule>
    <cfRule type="expression" dxfId="197" priority="115">
      <formula>$B366="Please revise entries or contact OLSC for assistance"</formula>
    </cfRule>
  </conditionalFormatting>
  <conditionalFormatting sqref="B369">
    <cfRule type="expression" dxfId="196" priority="109">
      <formula>$B369&lt;&gt;"Choose provider from the list"</formula>
    </cfRule>
  </conditionalFormatting>
  <conditionalFormatting sqref="B371">
    <cfRule type="expression" dxfId="195" priority="102">
      <formula>$B371="Entry Form complete - proceed to Summary sheet"</formula>
    </cfRule>
    <cfRule type="expression" dxfId="194" priority="107">
      <formula>$B371&lt;&gt;"Total value of expenditure"</formula>
    </cfRule>
    <cfRule type="expression" dxfId="193" priority="101">
      <formula>$B371="Please revise entries or contact OLSC for assistance"</formula>
    </cfRule>
  </conditionalFormatting>
  <conditionalFormatting sqref="B374">
    <cfRule type="expression" dxfId="192" priority="95">
      <formula>$B374&lt;&gt;"Choose provider from the list"</formula>
    </cfRule>
  </conditionalFormatting>
  <conditionalFormatting sqref="B376">
    <cfRule type="expression" dxfId="191" priority="93">
      <formula>$B376&lt;&gt;"Total value of expenditure"</formula>
    </cfRule>
    <cfRule type="expression" dxfId="190" priority="88">
      <formula>$B376="Entry Form complete - proceed to Summary sheet"</formula>
    </cfRule>
    <cfRule type="expression" dxfId="189" priority="87">
      <formula>$B376="Please revise entries or contact OLSC for assistance"</formula>
    </cfRule>
  </conditionalFormatting>
  <conditionalFormatting sqref="B379">
    <cfRule type="expression" dxfId="188" priority="81">
      <formula>$B379&lt;&gt;"Choose provider from the list"</formula>
    </cfRule>
  </conditionalFormatting>
  <conditionalFormatting sqref="B381">
    <cfRule type="expression" dxfId="187" priority="74">
      <formula>$B381="Entry Form complete - proceed to Summary sheet"</formula>
    </cfRule>
    <cfRule type="expression" dxfId="186" priority="79">
      <formula>$B381&lt;&gt;"Total value of expenditure"</formula>
    </cfRule>
    <cfRule type="expression" dxfId="185" priority="73">
      <formula>$B381="Please revise entries or contact OLSC for assistance"</formula>
    </cfRule>
  </conditionalFormatting>
  <conditionalFormatting sqref="B384">
    <cfRule type="expression" dxfId="184" priority="67">
      <formula>$B384&lt;&gt;"Choose provider from the list"</formula>
    </cfRule>
  </conditionalFormatting>
  <conditionalFormatting sqref="B386">
    <cfRule type="expression" dxfId="183" priority="59">
      <formula>$B386="Please revise entries or contact OLSC for assistance"</formula>
    </cfRule>
    <cfRule type="expression" dxfId="182" priority="60">
      <formula>$B386="Entry Form complete - proceed to Summary sheet"</formula>
    </cfRule>
    <cfRule type="expression" dxfId="181" priority="65">
      <formula>$B386&lt;&gt;"Total value of expenditure"</formula>
    </cfRule>
  </conditionalFormatting>
  <conditionalFormatting sqref="B389">
    <cfRule type="expression" dxfId="180" priority="53">
      <formula>$B389&lt;&gt;"Choose provider from the list"</formula>
    </cfRule>
  </conditionalFormatting>
  <conditionalFormatting sqref="B391">
    <cfRule type="expression" dxfId="179" priority="51">
      <formula>$B391&lt;&gt;"Total value of expenditure"</formula>
    </cfRule>
    <cfRule type="expression" dxfId="178" priority="45">
      <formula>$B391="Please revise entries or contact OLSC for assistance"</formula>
    </cfRule>
    <cfRule type="expression" dxfId="177" priority="46">
      <formula>$B391="Entry Form complete - proceed to Summary sheet"</formula>
    </cfRule>
  </conditionalFormatting>
  <conditionalFormatting sqref="B394">
    <cfRule type="expression" dxfId="176" priority="39">
      <formula>$B394&lt;&gt;"Choose provider from the list"</formula>
    </cfRule>
  </conditionalFormatting>
  <conditionalFormatting sqref="B396">
    <cfRule type="expression" dxfId="175" priority="37">
      <formula>$B396&lt;&gt;"Total value of expenditure"</formula>
    </cfRule>
    <cfRule type="expression" dxfId="174" priority="31">
      <formula>$B396="Please revise entries or contact OLSC for assistance"</formula>
    </cfRule>
    <cfRule type="expression" dxfId="173" priority="32">
      <formula>$B396="Entry Form complete - proceed to Summary sheet"</formula>
    </cfRule>
  </conditionalFormatting>
  <conditionalFormatting sqref="B399">
    <cfRule type="expression" dxfId="172" priority="25">
      <formula>$B399&lt;&gt;"Choose provider from the list"</formula>
    </cfRule>
  </conditionalFormatting>
  <conditionalFormatting sqref="B401">
    <cfRule type="expression" dxfId="171" priority="18">
      <formula>$B401="Entry Form complete - proceed to Summary sheet"</formula>
    </cfRule>
    <cfRule type="expression" dxfId="170" priority="23">
      <formula>$B401&lt;&gt;"Total value of expenditure"</formula>
    </cfRule>
    <cfRule type="expression" dxfId="169" priority="17">
      <formula>$B401="Please revise entries or contact OLSC for assistance"</formula>
    </cfRule>
  </conditionalFormatting>
  <conditionalFormatting sqref="B404">
    <cfRule type="expression" dxfId="168" priority="11">
      <formula>$B404&lt;&gt;"Choose provider from the list"</formula>
    </cfRule>
  </conditionalFormatting>
  <conditionalFormatting sqref="B406">
    <cfRule type="expression" dxfId="167" priority="9">
      <formula>$B406&lt;&gt;"Total value of expenditure"</formula>
    </cfRule>
    <cfRule type="expression" dxfId="166" priority="4">
      <formula>$B406="Entry Form complete - proceed to Summary sheet"</formula>
    </cfRule>
    <cfRule type="expression" dxfId="165" priority="3">
      <formula>$B406="Please revise entries or contact OLSC for assistance"</formula>
    </cfRule>
  </conditionalFormatting>
  <conditionalFormatting sqref="B165:C165">
    <cfRule type="expression" dxfId="164" priority="7100">
      <formula>$B165&lt;&gt;"Type provider name manually"</formula>
    </cfRule>
  </conditionalFormatting>
  <conditionalFormatting sqref="B168:C168">
    <cfRule type="expression" dxfId="163" priority="7054">
      <formula>$B168="Please confirm that the details entered into the Entry Form are correct"</formula>
    </cfRule>
    <cfRule type="expression" dxfId="162" priority="7072">
      <formula>$B168=""</formula>
    </cfRule>
  </conditionalFormatting>
  <conditionalFormatting sqref="B170:C170">
    <cfRule type="expression" dxfId="161" priority="7068">
      <formula>$B170&lt;&gt;"Type provider name manually"</formula>
    </cfRule>
  </conditionalFormatting>
  <conditionalFormatting sqref="B173:C173">
    <cfRule type="expression" dxfId="160" priority="657">
      <formula>$B173=""</formula>
    </cfRule>
    <cfRule type="expression" dxfId="159" priority="649">
      <formula>$B173="Please confirm that the details entered into the Entry Form are correct"</formula>
    </cfRule>
  </conditionalFormatting>
  <conditionalFormatting sqref="B175:C175">
    <cfRule type="expression" dxfId="158" priority="654">
      <formula>$B175&lt;&gt;"Type provider name manually"</formula>
    </cfRule>
  </conditionalFormatting>
  <conditionalFormatting sqref="B178:C178">
    <cfRule type="expression" dxfId="157" priority="635">
      <formula>$B178="Please confirm that the details entered into the Entry Form are correct"</formula>
    </cfRule>
    <cfRule type="expression" dxfId="156" priority="643">
      <formula>$B178=""</formula>
    </cfRule>
  </conditionalFormatting>
  <conditionalFormatting sqref="B180:C180">
    <cfRule type="expression" dxfId="155" priority="640">
      <formula>$B180&lt;&gt;"Type provider name manually"</formula>
    </cfRule>
  </conditionalFormatting>
  <conditionalFormatting sqref="B183:C183">
    <cfRule type="expression" dxfId="154" priority="621">
      <formula>$B183="Please confirm that the details entered into the Entry Form are correct"</formula>
    </cfRule>
    <cfRule type="expression" dxfId="153" priority="629">
      <formula>$B183=""</formula>
    </cfRule>
  </conditionalFormatting>
  <conditionalFormatting sqref="B185:C185">
    <cfRule type="expression" dxfId="152" priority="626">
      <formula>$B185&lt;&gt;"Type provider name manually"</formula>
    </cfRule>
  </conditionalFormatting>
  <conditionalFormatting sqref="B188:C188">
    <cfRule type="expression" dxfId="151" priority="607">
      <formula>$B188="Please confirm that the details entered into the Entry Form are correct"</formula>
    </cfRule>
    <cfRule type="expression" dxfId="150" priority="615">
      <formula>$B188=""</formula>
    </cfRule>
  </conditionalFormatting>
  <conditionalFormatting sqref="B190:C190">
    <cfRule type="expression" dxfId="149" priority="612">
      <formula>$B190&lt;&gt;"Type provider name manually"</formula>
    </cfRule>
  </conditionalFormatting>
  <conditionalFormatting sqref="B193:C193">
    <cfRule type="expression" dxfId="148" priority="601">
      <formula>$B193=""</formula>
    </cfRule>
    <cfRule type="expression" dxfId="147" priority="593">
      <formula>$B193="Please confirm that the details entered into the Entry Form are correct"</formula>
    </cfRule>
  </conditionalFormatting>
  <conditionalFormatting sqref="B195:C195">
    <cfRule type="expression" dxfId="146" priority="598">
      <formula>$B195&lt;&gt;"Type provider name manually"</formula>
    </cfRule>
  </conditionalFormatting>
  <conditionalFormatting sqref="B198:C198">
    <cfRule type="expression" dxfId="145" priority="587">
      <formula>$B198=""</formula>
    </cfRule>
    <cfRule type="expression" dxfId="144" priority="579">
      <formula>$B198="Please confirm that the details entered into the Entry Form are correct"</formula>
    </cfRule>
  </conditionalFormatting>
  <conditionalFormatting sqref="B200:C200">
    <cfRule type="expression" dxfId="143" priority="584">
      <formula>$B200&lt;&gt;"Type provider name manually"</formula>
    </cfRule>
  </conditionalFormatting>
  <conditionalFormatting sqref="B203:C203">
    <cfRule type="expression" dxfId="142" priority="573">
      <formula>$B203=""</formula>
    </cfRule>
    <cfRule type="expression" dxfId="141" priority="565">
      <formula>$B203="Please confirm that the details entered into the Entry Form are correct"</formula>
    </cfRule>
  </conditionalFormatting>
  <conditionalFormatting sqref="B205:C205">
    <cfRule type="expression" dxfId="140" priority="570">
      <formula>$B205&lt;&gt;"Type provider name manually"</formula>
    </cfRule>
  </conditionalFormatting>
  <conditionalFormatting sqref="B208:C208">
    <cfRule type="expression" dxfId="139" priority="551">
      <formula>$B208="Please confirm that the details entered into the Entry Form are correct"</formula>
    </cfRule>
    <cfRule type="expression" dxfId="138" priority="559">
      <formula>$B208=""</formula>
    </cfRule>
  </conditionalFormatting>
  <conditionalFormatting sqref="B210:C210">
    <cfRule type="expression" dxfId="137" priority="556">
      <formula>$B210&lt;&gt;"Type provider name manually"</formula>
    </cfRule>
  </conditionalFormatting>
  <conditionalFormatting sqref="B213:C213">
    <cfRule type="expression" dxfId="136" priority="545">
      <formula>$B213=""</formula>
    </cfRule>
    <cfRule type="expression" dxfId="135" priority="537">
      <formula>$B213="Please confirm that the details entered into the Entry Form are correct"</formula>
    </cfRule>
  </conditionalFormatting>
  <conditionalFormatting sqref="B215:C215">
    <cfRule type="expression" dxfId="134" priority="542">
      <formula>$B215&lt;&gt;"Type provider name manually"</formula>
    </cfRule>
  </conditionalFormatting>
  <conditionalFormatting sqref="B218:C218">
    <cfRule type="expression" dxfId="133" priority="523">
      <formula>$B218="Please confirm that the details entered into the Entry Form are correct"</formula>
    </cfRule>
    <cfRule type="expression" dxfId="132" priority="531">
      <formula>$B218=""</formula>
    </cfRule>
  </conditionalFormatting>
  <conditionalFormatting sqref="B220:C220">
    <cfRule type="expression" dxfId="131" priority="528">
      <formula>$B220&lt;&gt;"Type provider name manually"</formula>
    </cfRule>
  </conditionalFormatting>
  <conditionalFormatting sqref="B223:C223">
    <cfRule type="expression" dxfId="130" priority="509">
      <formula>$B223="Please confirm that the details entered into the Entry Form are correct"</formula>
    </cfRule>
    <cfRule type="expression" dxfId="129" priority="517">
      <formula>$B223=""</formula>
    </cfRule>
  </conditionalFormatting>
  <conditionalFormatting sqref="B225:C225">
    <cfRule type="expression" dxfId="128" priority="514">
      <formula>$B225&lt;&gt;"Type provider name manually"</formula>
    </cfRule>
  </conditionalFormatting>
  <conditionalFormatting sqref="B228:C228">
    <cfRule type="expression" dxfId="127" priority="495">
      <formula>$B228="Please confirm that the details entered into the Entry Form are correct"</formula>
    </cfRule>
    <cfRule type="expression" dxfId="126" priority="503">
      <formula>$B228=""</formula>
    </cfRule>
  </conditionalFormatting>
  <conditionalFormatting sqref="B230:C230">
    <cfRule type="expression" dxfId="125" priority="500">
      <formula>$B230&lt;&gt;"Type provider name manually"</formula>
    </cfRule>
  </conditionalFormatting>
  <conditionalFormatting sqref="B233:C233">
    <cfRule type="expression" dxfId="124" priority="489">
      <formula>$B233=""</formula>
    </cfRule>
    <cfRule type="expression" dxfId="123" priority="481">
      <formula>$B233="Please confirm that the details entered into the Entry Form are correct"</formula>
    </cfRule>
  </conditionalFormatting>
  <conditionalFormatting sqref="B235:C235">
    <cfRule type="expression" dxfId="122" priority="486">
      <formula>$B235&lt;&gt;"Type provider name manually"</formula>
    </cfRule>
  </conditionalFormatting>
  <conditionalFormatting sqref="B238:C238">
    <cfRule type="expression" dxfId="121" priority="467">
      <formula>$B238="Please confirm that the details entered into the Entry Form are correct"</formula>
    </cfRule>
    <cfRule type="expression" dxfId="120" priority="475">
      <formula>$B238=""</formula>
    </cfRule>
  </conditionalFormatting>
  <conditionalFormatting sqref="B240:C240">
    <cfRule type="expression" dxfId="119" priority="472">
      <formula>$B240&lt;&gt;"Type provider name manually"</formula>
    </cfRule>
  </conditionalFormatting>
  <conditionalFormatting sqref="B243:C243">
    <cfRule type="expression" dxfId="118" priority="461">
      <formula>$B243=""</formula>
    </cfRule>
    <cfRule type="expression" dxfId="117" priority="453">
      <formula>$B243="Please confirm that the details entered into the Entry Form are correct"</formula>
    </cfRule>
  </conditionalFormatting>
  <conditionalFormatting sqref="B245:C245">
    <cfRule type="expression" dxfId="116" priority="458">
      <formula>$B245&lt;&gt;"Type provider name manually"</formula>
    </cfRule>
  </conditionalFormatting>
  <conditionalFormatting sqref="B248:C248">
    <cfRule type="expression" dxfId="115" priority="439">
      <formula>$B248="Please confirm that the details entered into the Entry Form are correct"</formula>
    </cfRule>
    <cfRule type="expression" dxfId="114" priority="447">
      <formula>$B248=""</formula>
    </cfRule>
  </conditionalFormatting>
  <conditionalFormatting sqref="B250:C250">
    <cfRule type="expression" dxfId="113" priority="444">
      <formula>$B250&lt;&gt;"Type provider name manually"</formula>
    </cfRule>
  </conditionalFormatting>
  <conditionalFormatting sqref="B253:C253">
    <cfRule type="expression" dxfId="112" priority="433">
      <formula>$B253=""</formula>
    </cfRule>
    <cfRule type="expression" dxfId="111" priority="425">
      <formula>$B253="Please confirm that the details entered into the Entry Form are correct"</formula>
    </cfRule>
  </conditionalFormatting>
  <conditionalFormatting sqref="B255:C255">
    <cfRule type="expression" dxfId="110" priority="430">
      <formula>$B255&lt;&gt;"Type provider name manually"</formula>
    </cfRule>
  </conditionalFormatting>
  <conditionalFormatting sqref="B258:C258">
    <cfRule type="expression" dxfId="109" priority="411">
      <formula>$B258="Please confirm that the details entered into the Entry Form are correct"</formula>
    </cfRule>
    <cfRule type="expression" dxfId="108" priority="419">
      <formula>$B258=""</formula>
    </cfRule>
  </conditionalFormatting>
  <conditionalFormatting sqref="B260:C260">
    <cfRule type="expression" dxfId="107" priority="416">
      <formula>$B260&lt;&gt;"Type provider name manually"</formula>
    </cfRule>
  </conditionalFormatting>
  <conditionalFormatting sqref="B263:C263">
    <cfRule type="expression" dxfId="106" priority="405">
      <formula>$B263=""</formula>
    </cfRule>
    <cfRule type="expression" dxfId="105" priority="397">
      <formula>$B263="Please confirm that the details entered into the Entry Form are correct"</formula>
    </cfRule>
  </conditionalFormatting>
  <conditionalFormatting sqref="B265:C265">
    <cfRule type="expression" dxfId="104" priority="402">
      <formula>$B265&lt;&gt;"Type provider name manually"</formula>
    </cfRule>
  </conditionalFormatting>
  <conditionalFormatting sqref="B268:C268">
    <cfRule type="expression" dxfId="103" priority="383">
      <formula>$B268="Please confirm that the details entered into the Entry Form are correct"</formula>
    </cfRule>
    <cfRule type="expression" dxfId="102" priority="391">
      <formula>$B268=""</formula>
    </cfRule>
  </conditionalFormatting>
  <conditionalFormatting sqref="B270:C270">
    <cfRule type="expression" dxfId="101" priority="388">
      <formula>$B270&lt;&gt;"Type provider name manually"</formula>
    </cfRule>
  </conditionalFormatting>
  <conditionalFormatting sqref="B273:C273">
    <cfRule type="expression" dxfId="100" priority="377">
      <formula>$B273=""</formula>
    </cfRule>
    <cfRule type="expression" dxfId="99" priority="369">
      <formula>$B273="Please confirm that the details entered into the Entry Form are correct"</formula>
    </cfRule>
  </conditionalFormatting>
  <conditionalFormatting sqref="B275:C275">
    <cfRule type="expression" dxfId="98" priority="374">
      <formula>$B275&lt;&gt;"Type provider name manually"</formula>
    </cfRule>
  </conditionalFormatting>
  <conditionalFormatting sqref="B278:C278">
    <cfRule type="expression" dxfId="97" priority="363">
      <formula>$B278=""</formula>
    </cfRule>
    <cfRule type="expression" dxfId="96" priority="355">
      <formula>$B278="Please confirm that the details entered into the Entry Form are correct"</formula>
    </cfRule>
  </conditionalFormatting>
  <conditionalFormatting sqref="B280:C280">
    <cfRule type="expression" dxfId="95" priority="360">
      <formula>$B280&lt;&gt;"Type provider name manually"</formula>
    </cfRule>
  </conditionalFormatting>
  <conditionalFormatting sqref="B283:C283">
    <cfRule type="expression" dxfId="94" priority="349">
      <formula>$B283=""</formula>
    </cfRule>
    <cfRule type="expression" dxfId="93" priority="341">
      <formula>$B283="Please confirm that the details entered into the Entry Form are correct"</formula>
    </cfRule>
  </conditionalFormatting>
  <conditionalFormatting sqref="B285:C285">
    <cfRule type="expression" dxfId="92" priority="346">
      <formula>$B285&lt;&gt;"Type provider name manually"</formula>
    </cfRule>
  </conditionalFormatting>
  <conditionalFormatting sqref="B288:C288">
    <cfRule type="expression" dxfId="91" priority="335">
      <formula>$B288=""</formula>
    </cfRule>
    <cfRule type="expression" dxfId="90" priority="327">
      <formula>$B288="Please confirm that the details entered into the Entry Form are correct"</formula>
    </cfRule>
  </conditionalFormatting>
  <conditionalFormatting sqref="B290:C290">
    <cfRule type="expression" dxfId="89" priority="332">
      <formula>$B290&lt;&gt;"Type provider name manually"</formula>
    </cfRule>
  </conditionalFormatting>
  <conditionalFormatting sqref="B293:C293">
    <cfRule type="expression" dxfId="88" priority="321">
      <formula>$B293=""</formula>
    </cfRule>
    <cfRule type="expression" dxfId="87" priority="313">
      <formula>$B293="Please confirm that the details entered into the Entry Form are correct"</formula>
    </cfRule>
  </conditionalFormatting>
  <conditionalFormatting sqref="B295:C295">
    <cfRule type="expression" dxfId="86" priority="318">
      <formula>$B295&lt;&gt;"Type provider name manually"</formula>
    </cfRule>
  </conditionalFormatting>
  <conditionalFormatting sqref="B298:C298">
    <cfRule type="expression" dxfId="85" priority="299">
      <formula>$B298="Please confirm that the details entered into the Entry Form are correct"</formula>
    </cfRule>
    <cfRule type="expression" dxfId="84" priority="307">
      <formula>$B298=""</formula>
    </cfRule>
  </conditionalFormatting>
  <conditionalFormatting sqref="B300:C300">
    <cfRule type="expression" dxfId="83" priority="304">
      <formula>$B300&lt;&gt;"Type provider name manually"</formula>
    </cfRule>
  </conditionalFormatting>
  <conditionalFormatting sqref="B303:C303">
    <cfRule type="expression" dxfId="82" priority="293">
      <formula>$B303=""</formula>
    </cfRule>
    <cfRule type="expression" dxfId="81" priority="285">
      <formula>$B303="Please confirm that the details entered into the Entry Form are correct"</formula>
    </cfRule>
  </conditionalFormatting>
  <conditionalFormatting sqref="B305:C305">
    <cfRule type="expression" dxfId="80" priority="290">
      <formula>$B305&lt;&gt;"Type provider name manually"</formula>
    </cfRule>
  </conditionalFormatting>
  <conditionalFormatting sqref="B308:C308">
    <cfRule type="expression" dxfId="79" priority="271">
      <formula>$B308="Please confirm that the details entered into the Entry Form are correct"</formula>
    </cfRule>
    <cfRule type="expression" dxfId="78" priority="279">
      <formula>$B308=""</formula>
    </cfRule>
  </conditionalFormatting>
  <conditionalFormatting sqref="B310:C310">
    <cfRule type="expression" dxfId="77" priority="276">
      <formula>$B310&lt;&gt;"Type provider name manually"</formula>
    </cfRule>
  </conditionalFormatting>
  <conditionalFormatting sqref="B313:C313">
    <cfRule type="expression" dxfId="76" priority="257">
      <formula>$B313="Please confirm that the details entered into the Entry Form are correct"</formula>
    </cfRule>
    <cfRule type="expression" dxfId="75" priority="265">
      <formula>$B313=""</formula>
    </cfRule>
  </conditionalFormatting>
  <conditionalFormatting sqref="B315:C315">
    <cfRule type="expression" dxfId="74" priority="262">
      <formula>$B315&lt;&gt;"Type provider name manually"</formula>
    </cfRule>
  </conditionalFormatting>
  <conditionalFormatting sqref="B318:C318">
    <cfRule type="expression" dxfId="73" priority="243">
      <formula>$B318="Please confirm that the details entered into the Entry Form are correct"</formula>
    </cfRule>
    <cfRule type="expression" dxfId="72" priority="251">
      <formula>$B318=""</formula>
    </cfRule>
  </conditionalFormatting>
  <conditionalFormatting sqref="B320:C320">
    <cfRule type="expression" dxfId="71" priority="248">
      <formula>$B320&lt;&gt;"Type provider name manually"</formula>
    </cfRule>
  </conditionalFormatting>
  <conditionalFormatting sqref="B323:C323">
    <cfRule type="expression" dxfId="70" priority="237">
      <formula>$B323=""</formula>
    </cfRule>
    <cfRule type="expression" dxfId="69" priority="229">
      <formula>$B323="Please confirm that the details entered into the Entry Form are correct"</formula>
    </cfRule>
  </conditionalFormatting>
  <conditionalFormatting sqref="B325:C325">
    <cfRule type="expression" dxfId="68" priority="234">
      <formula>$B325&lt;&gt;"Type provider name manually"</formula>
    </cfRule>
  </conditionalFormatting>
  <conditionalFormatting sqref="B328:C328">
    <cfRule type="expression" dxfId="67" priority="215">
      <formula>$B328="Please confirm that the details entered into the Entry Form are correct"</formula>
    </cfRule>
    <cfRule type="expression" dxfId="66" priority="223">
      <formula>$B328=""</formula>
    </cfRule>
  </conditionalFormatting>
  <conditionalFormatting sqref="B330:C330">
    <cfRule type="expression" dxfId="65" priority="220">
      <formula>$B330&lt;&gt;"Type provider name manually"</formula>
    </cfRule>
  </conditionalFormatting>
  <conditionalFormatting sqref="B333:C333">
    <cfRule type="expression" dxfId="64" priority="209">
      <formula>$B333=""</formula>
    </cfRule>
    <cfRule type="expression" dxfId="63" priority="201">
      <formula>$B333="Please confirm that the details entered into the Entry Form are correct"</formula>
    </cfRule>
  </conditionalFormatting>
  <conditionalFormatting sqref="B335:C335">
    <cfRule type="expression" dxfId="62" priority="206">
      <formula>$B335&lt;&gt;"Type provider name manually"</formula>
    </cfRule>
  </conditionalFormatting>
  <conditionalFormatting sqref="B338:C338">
    <cfRule type="expression" dxfId="61" priority="195">
      <formula>$B338=""</formula>
    </cfRule>
    <cfRule type="expression" dxfId="60" priority="187">
      <formula>$B338="Please confirm that the details entered into the Entry Form are correct"</formula>
    </cfRule>
  </conditionalFormatting>
  <conditionalFormatting sqref="B340:C340">
    <cfRule type="expression" dxfId="59" priority="192">
      <formula>$B340&lt;&gt;"Type provider name manually"</formula>
    </cfRule>
  </conditionalFormatting>
  <conditionalFormatting sqref="B343:C343">
    <cfRule type="expression" dxfId="58" priority="181">
      <formula>$B343=""</formula>
    </cfRule>
    <cfRule type="expression" dxfId="57" priority="173">
      <formula>$B343="Please confirm that the details entered into the Entry Form are correct"</formula>
    </cfRule>
  </conditionalFormatting>
  <conditionalFormatting sqref="B345:C345">
    <cfRule type="expression" dxfId="56" priority="178">
      <formula>$B345&lt;&gt;"Type provider name manually"</formula>
    </cfRule>
  </conditionalFormatting>
  <conditionalFormatting sqref="B348:C348">
    <cfRule type="expression" dxfId="55" priority="159">
      <formula>$B348="Please confirm that the details entered into the Entry Form are correct"</formula>
    </cfRule>
    <cfRule type="expression" dxfId="54" priority="167">
      <formula>$B348=""</formula>
    </cfRule>
  </conditionalFormatting>
  <conditionalFormatting sqref="B350:C350">
    <cfRule type="expression" dxfId="53" priority="164">
      <formula>$B350&lt;&gt;"Type provider name manually"</formula>
    </cfRule>
  </conditionalFormatting>
  <conditionalFormatting sqref="B353:C353">
    <cfRule type="expression" dxfId="52" priority="145">
      <formula>$B353="Please confirm that the details entered into the Entry Form are correct"</formula>
    </cfRule>
    <cfRule type="expression" dxfId="51" priority="153">
      <formula>$B353=""</formula>
    </cfRule>
  </conditionalFormatting>
  <conditionalFormatting sqref="B355:C355">
    <cfRule type="expression" dxfId="50" priority="150">
      <formula>$B355&lt;&gt;"Type provider name manually"</formula>
    </cfRule>
  </conditionalFormatting>
  <conditionalFormatting sqref="B358:C358">
    <cfRule type="expression" dxfId="49" priority="131">
      <formula>$B358="Please confirm that the details entered into the Entry Form are correct"</formula>
    </cfRule>
    <cfRule type="expression" dxfId="48" priority="139">
      <formula>$B358=""</formula>
    </cfRule>
  </conditionalFormatting>
  <conditionalFormatting sqref="B360:C360">
    <cfRule type="expression" dxfId="47" priority="136">
      <formula>$B360&lt;&gt;"Type provider name manually"</formula>
    </cfRule>
  </conditionalFormatting>
  <conditionalFormatting sqref="B363:C363">
    <cfRule type="expression" dxfId="46" priority="125">
      <formula>$B363=""</formula>
    </cfRule>
    <cfRule type="expression" dxfId="45" priority="117">
      <formula>$B363="Please confirm that the details entered into the Entry Form are correct"</formula>
    </cfRule>
  </conditionalFormatting>
  <conditionalFormatting sqref="B365:C365">
    <cfRule type="expression" dxfId="44" priority="122">
      <formula>$B365&lt;&gt;"Type provider name manually"</formula>
    </cfRule>
  </conditionalFormatting>
  <conditionalFormatting sqref="B368:C368">
    <cfRule type="expression" dxfId="43" priority="111">
      <formula>$B368=""</formula>
    </cfRule>
    <cfRule type="expression" dxfId="42" priority="103">
      <formula>$B368="Please confirm that the details entered into the Entry Form are correct"</formula>
    </cfRule>
  </conditionalFormatting>
  <conditionalFormatting sqref="B370:C370">
    <cfRule type="expression" dxfId="41" priority="108">
      <formula>$B370&lt;&gt;"Type provider name manually"</formula>
    </cfRule>
  </conditionalFormatting>
  <conditionalFormatting sqref="B373:C373">
    <cfRule type="expression" dxfId="40" priority="89">
      <formula>$B373="Please confirm that the details entered into the Entry Form are correct"</formula>
    </cfRule>
    <cfRule type="expression" dxfId="39" priority="97">
      <formula>$B373=""</formula>
    </cfRule>
  </conditionalFormatting>
  <conditionalFormatting sqref="B375:C375">
    <cfRule type="expression" dxfId="38" priority="94">
      <formula>$B375&lt;&gt;"Type provider name manually"</formula>
    </cfRule>
  </conditionalFormatting>
  <conditionalFormatting sqref="B378:C378">
    <cfRule type="expression" dxfId="37" priority="83">
      <formula>$B378=""</formula>
    </cfRule>
    <cfRule type="expression" dxfId="36" priority="75">
      <formula>$B378="Please confirm that the details entered into the Entry Form are correct"</formula>
    </cfRule>
  </conditionalFormatting>
  <conditionalFormatting sqref="B380:C380">
    <cfRule type="expression" dxfId="35" priority="80">
      <formula>$B380&lt;&gt;"Type provider name manually"</formula>
    </cfRule>
  </conditionalFormatting>
  <conditionalFormatting sqref="B383:C383">
    <cfRule type="expression" dxfId="34" priority="61">
      <formula>$B383="Please confirm that the details entered into the Entry Form are correct"</formula>
    </cfRule>
    <cfRule type="expression" dxfId="33" priority="69">
      <formula>$B383=""</formula>
    </cfRule>
  </conditionalFormatting>
  <conditionalFormatting sqref="B385:C385">
    <cfRule type="expression" dxfId="32" priority="66">
      <formula>$B385&lt;&gt;"Type provider name manually"</formula>
    </cfRule>
  </conditionalFormatting>
  <conditionalFormatting sqref="B388:C388">
    <cfRule type="expression" dxfId="31" priority="47">
      <formula>$B388="Please confirm that the details entered into the Entry Form are correct"</formula>
    </cfRule>
    <cfRule type="expression" dxfId="30" priority="55">
      <formula>$B388=""</formula>
    </cfRule>
  </conditionalFormatting>
  <conditionalFormatting sqref="B390:C390">
    <cfRule type="expression" dxfId="29" priority="52">
      <formula>$B390&lt;&gt;"Type provider name manually"</formula>
    </cfRule>
  </conditionalFormatting>
  <conditionalFormatting sqref="B393:C393">
    <cfRule type="expression" dxfId="28" priority="33">
      <formula>$B393="Please confirm that the details entered into the Entry Form are correct"</formula>
    </cfRule>
    <cfRule type="expression" dxfId="27" priority="41">
      <formula>$B393=""</formula>
    </cfRule>
  </conditionalFormatting>
  <conditionalFormatting sqref="B395:C395">
    <cfRule type="expression" dxfId="26" priority="38">
      <formula>$B395&lt;&gt;"Type provider name manually"</formula>
    </cfRule>
  </conditionalFormatting>
  <conditionalFormatting sqref="B398:C398">
    <cfRule type="expression" dxfId="25" priority="27">
      <formula>$B398=""</formula>
    </cfRule>
    <cfRule type="expression" dxfId="24" priority="19">
      <formula>$B398="Please confirm that the details entered into the Entry Form are correct"</formula>
    </cfRule>
  </conditionalFormatting>
  <conditionalFormatting sqref="B400:C400">
    <cfRule type="expression" dxfId="23" priority="24">
      <formula>$B400&lt;&gt;"Type provider name manually"</formula>
    </cfRule>
  </conditionalFormatting>
  <conditionalFormatting sqref="B403:C403">
    <cfRule type="expression" dxfId="22" priority="5">
      <formula>$B403="Please confirm that the details entered into the Entry Form are correct"</formula>
    </cfRule>
    <cfRule type="expression" dxfId="21" priority="13">
      <formula>$B403=""</formula>
    </cfRule>
  </conditionalFormatting>
  <conditionalFormatting sqref="B405:C405">
    <cfRule type="expression" dxfId="20" priority="10">
      <formula>$B405&lt;&gt;"Type provider name manually"</formula>
    </cfRule>
  </conditionalFormatting>
  <dataValidations count="2">
    <dataValidation type="list" allowBlank="1" showInputMessage="1" showErrorMessage="1" sqref="C6" xr:uid="{00000000-0002-0000-0000-000000000000}">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xr:uid="{00000000-0002-0000-0000-000001000000}">
      <formula1>INDIRECT(E9)</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90"/>
  <sheetViews>
    <sheetView showGridLines="0" tabSelected="1" topLeftCell="A50" zoomScale="90" zoomScaleNormal="90" workbookViewId="0">
      <selection activeCell="B56" sqref="B56"/>
    </sheetView>
  </sheetViews>
  <sheetFormatPr defaultColWidth="23.42578125" defaultRowHeight="25.5" x14ac:dyDescent="0.35"/>
  <cols>
    <col min="1" max="1" width="33.7109375" customWidth="1"/>
    <col min="2" max="2" width="100.7109375" customWidth="1"/>
    <col min="3" max="3" width="33.7109375" customWidth="1"/>
    <col min="4" max="4" width="10.5703125" style="23" customWidth="1"/>
    <col min="5" max="5" width="27.7109375" hidden="1" customWidth="1"/>
  </cols>
  <sheetData>
    <row r="1" spans="1:3" ht="41.25" customHeight="1" x14ac:dyDescent="0.35">
      <c r="A1" s="20"/>
      <c r="B1" s="21" t="s">
        <v>729</v>
      </c>
      <c r="C1" s="22"/>
    </row>
    <row r="2" spans="1:3" ht="17.25" customHeight="1" x14ac:dyDescent="0.35">
      <c r="A2" s="104"/>
      <c r="B2" s="24"/>
      <c r="C2" s="25"/>
    </row>
    <row r="3" spans="1:3" ht="66.75" customHeight="1" x14ac:dyDescent="0.35">
      <c r="A3" s="105"/>
      <c r="B3" s="26" t="str">
        <f>Text!B167</f>
        <v xml:space="preserve">
The Summary sheet is only visible once you have confirmed that the Entry form is complete following inclusion of the last domestic legal services provider in section 5c.
</v>
      </c>
      <c r="C3" s="27"/>
    </row>
    <row r="4" spans="1:3" ht="18.75" customHeight="1" x14ac:dyDescent="0.35">
      <c r="A4" s="105"/>
      <c r="B4" s="28"/>
      <c r="C4" s="27"/>
    </row>
    <row r="5" spans="1:3" x14ac:dyDescent="0.35">
      <c r="A5" s="105"/>
      <c r="B5" s="29" t="str">
        <f>IF('Entry Form'!$B$407&lt;&gt;"Entry form complete","",'Entry Form'!C6)</f>
        <v>Professional Services Review</v>
      </c>
      <c r="C5" s="27"/>
    </row>
    <row r="6" spans="1:3" x14ac:dyDescent="0.35">
      <c r="A6" s="105"/>
      <c r="B6" s="29" t="str">
        <f>IF('Entry Form'!$B$407&lt;&gt;"Entry form complete","",'Entry Form'!C7)</f>
        <v>45 307 308 260</v>
      </c>
      <c r="C6" s="27"/>
    </row>
    <row r="7" spans="1:3" ht="18.75" customHeight="1" x14ac:dyDescent="0.35">
      <c r="A7" s="105"/>
      <c r="B7" s="30"/>
      <c r="C7" s="27"/>
    </row>
    <row r="8" spans="1:3" ht="26.25" thickBot="1" x14ac:dyDescent="0.4">
      <c r="A8" s="106"/>
      <c r="B8" s="31" t="str">
        <f>IF('Entry Form'!$B$407="Entry form complete","Summary Totals (explainer)","")</f>
        <v>Summary Totals (explainer)</v>
      </c>
      <c r="C8" s="32"/>
    </row>
    <row r="9" spans="1:3" ht="61.5" customHeight="1" thickTop="1" x14ac:dyDescent="0.35">
      <c r="A9" s="107" t="str">
        <f>IF('Entry Form'!$B$407="Entry form complete",Text!A169,"")</f>
        <v>What is this section?</v>
      </c>
      <c r="B9" s="34" t="str">
        <f>IF('Entry Form'!$B$407="Entry form complete",Text!B169,"")</f>
        <v xml:space="preserve">
In this section you are required to review and confirm the summary totals for your entity's 2023-24 Legal Services Expenditure Report based on what you entered in the Entry form sheet.
</v>
      </c>
      <c r="C9" s="35"/>
    </row>
    <row r="10" spans="1:3" ht="81" customHeight="1" x14ac:dyDescent="0.35">
      <c r="A10" s="107" t="str">
        <f>IF('Entry Form'!$B$407="Entry form complete",Text!A170,"")</f>
        <v>What are the summary totals?</v>
      </c>
      <c r="B10" s="34"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35"/>
    </row>
    <row r="11" spans="1:3" ht="78.75" customHeight="1" x14ac:dyDescent="0.35">
      <c r="A11" s="107" t="str">
        <f>IF('Entry Form'!$B$407="Entry form complete",Text!A171,"")</f>
        <v>Expenditure comparison</v>
      </c>
      <c r="B11" s="34" t="str">
        <f>IF('Entry Form'!$B$407="Entry form complete",Text!B171,"")</f>
        <v xml:space="preserve">
Your entity's total legal services expenditure for 2023-24 is displayed below (entities that have not reported before - because they are new or been subject of Machinery of Government changes - will display 0 expenditure). If there has been a significant change in expenditure in 2023-24 compared to 2022-23, you will be required to provide an explanation of the change in the commentary text box.
</v>
      </c>
      <c r="C11" s="35"/>
    </row>
    <row r="12" spans="1:3" ht="78.75" customHeight="1" x14ac:dyDescent="0.35">
      <c r="A12" s="107" t="str">
        <f>IF('Entry Form'!$B$407="Entry form complete",Text!A172,"")</f>
        <v xml:space="preserve">
Do I need to provide commentary?
</v>
      </c>
      <c r="B12" s="34" t="str">
        <f>IF('Entry Form'!$B$407="Entry form complete",Text!B172,"")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v>
      </c>
      <c r="C12" s="35"/>
    </row>
    <row r="13" spans="1:3" ht="80.25" customHeight="1" x14ac:dyDescent="0.35">
      <c r="A13" s="107" t="str">
        <f>IF('Entry Form'!$B$407="Entry form complete",Text!A173,"")</f>
        <v>Explaining a significant change in expenditure</v>
      </c>
      <c r="B13" s="34" t="str">
        <f>IF('Entry Form'!$B$407="Entry form complete",Text!B173,"")</f>
        <v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v>
      </c>
      <c r="C13" s="35"/>
    </row>
    <row r="14" spans="1:3" ht="18.75" customHeight="1" x14ac:dyDescent="0.35">
      <c r="A14" s="108"/>
      <c r="B14" s="36"/>
      <c r="C14" s="27"/>
    </row>
    <row r="15" spans="1:3" ht="37.5" customHeight="1" thickBot="1" x14ac:dyDescent="0.4">
      <c r="A15" s="106"/>
      <c r="B15" s="31" t="str">
        <f>IF('Entry Form'!$B$407="Entry form complete","Summary Totals","")</f>
        <v>Summary Totals</v>
      </c>
      <c r="C15" s="32"/>
    </row>
    <row r="16" spans="1:3" ht="26.25" thickTop="1" x14ac:dyDescent="0.35">
      <c r="A16" s="105"/>
      <c r="B16" s="133" t="str">
        <f>IF('Entry Form'!$B$407="Entry form complete","Total Legal Services Expenditure","")</f>
        <v>Total Legal Services Expenditure</v>
      </c>
      <c r="C16" s="38">
        <f>IF('Entry Form'!$B$407&lt;&gt;"Entry form complete","",$C$17+$C$18)</f>
        <v>4888205</v>
      </c>
    </row>
    <row r="17" spans="1:5" x14ac:dyDescent="0.35">
      <c r="A17" s="105"/>
      <c r="B17" s="133" t="str">
        <f>IF('Entry Form'!$B$407="Entry form complete","Total Internal Legal Services Expenditure","")</f>
        <v>Total Internal Legal Services Expenditure</v>
      </c>
      <c r="C17" s="38">
        <f>IF('Entry Form'!$B$407&lt;&gt;"Entry form complete","",'Entry Form'!$C$34)</f>
        <v>3514505</v>
      </c>
    </row>
    <row r="18" spans="1:5" x14ac:dyDescent="0.35">
      <c r="A18" s="105"/>
      <c r="B18" s="133" t="str">
        <f>IF('Entry Form'!$B$407="Entry form complete","Total External Legal Services Expenditure","")</f>
        <v>Total External Legal Services Expenditure</v>
      </c>
      <c r="C18" s="38">
        <f>IF('Entry Form'!$B$407&lt;&gt;"Entry form complete","",SUM(externalsum))</f>
        <v>1373700</v>
      </c>
    </row>
    <row r="19" spans="1:5" x14ac:dyDescent="0.35">
      <c r="A19" s="105"/>
      <c r="B19" s="133" t="str">
        <f>IF('Entry Form'!$B$407="Entry form complete","Total value of briefs to Counsel","")</f>
        <v>Total value of briefs to Counsel</v>
      </c>
      <c r="C19" s="38">
        <f>IF('Entry Form'!$B$407&lt;&gt;"Entry form complete","",SUM(counselsum))</f>
        <v>175246</v>
      </c>
    </row>
    <row r="20" spans="1:5" x14ac:dyDescent="0.35">
      <c r="A20" s="105"/>
      <c r="B20" s="133" t="str">
        <f>IF('Entry Form'!$B$407="Entry form complete","Total value of briefs to Male Counsel","")</f>
        <v>Total value of briefs to Male Counsel</v>
      </c>
      <c r="C20" s="38">
        <f>IF('Entry Form'!$B$407&lt;&gt;"Entry form complete","",SUM(malesum))</f>
        <v>115133</v>
      </c>
    </row>
    <row r="21" spans="1:5" x14ac:dyDescent="0.35">
      <c r="A21" s="105"/>
      <c r="B21" s="133" t="str">
        <f>IF('Entry Form'!$B$407="Entry form complete","Total value of briefs to Female Counsel","")</f>
        <v>Total value of briefs to Female Counsel</v>
      </c>
      <c r="C21" s="38">
        <f>IF('Entry Form'!$B$407&lt;&gt;"Entry form complete","",SUM(femalesum))</f>
        <v>60113</v>
      </c>
    </row>
    <row r="22" spans="1:5" x14ac:dyDescent="0.35">
      <c r="A22" s="105"/>
      <c r="B22" s="133" t="str">
        <f>IF('Entry Form'!$B$407="Entry form complete","Total value of briefs to gender X Counsel","")</f>
        <v>Total value of briefs to gender X Counsel</v>
      </c>
      <c r="C22" s="38">
        <f>IF('Entry Form'!$B$407&lt;&gt;"Entry form complete","",SUM(xsum))</f>
        <v>0</v>
      </c>
    </row>
    <row r="23" spans="1:5" x14ac:dyDescent="0.35">
      <c r="A23" s="105"/>
      <c r="B23" s="133" t="str">
        <f>IF('Entry Form'!$B$407="Entry form complete","Total value of disbursements (excluding counsel)","")</f>
        <v>Total value of disbursements (excluding counsel)</v>
      </c>
      <c r="C23" s="38">
        <f>IF('Entry Form'!$B$407&lt;&gt;"Entry form complete","",'Entry Form'!$C$104)</f>
        <v>19139</v>
      </c>
    </row>
    <row r="24" spans="1:5" x14ac:dyDescent="0.35">
      <c r="A24" s="105"/>
      <c r="B24" s="133" t="str">
        <f>IF('Entry Form'!$B$407="Entry form complete","Total value of professional fees","")</f>
        <v>Total value of professional fees</v>
      </c>
      <c r="C24" s="38">
        <f>IF('Entry Form'!$B$407&lt;&gt;"Entry form complete","",SUM(profees))</f>
        <v>1179315</v>
      </c>
    </row>
    <row r="25" spans="1:5" x14ac:dyDescent="0.35">
      <c r="A25" s="105"/>
      <c r="B25" s="133" t="str">
        <f>IF('Entry Form'!$B$407="Entry form complete","Total value of professional fees - 10% off-Panel allowance","")</f>
        <v>Total value of professional fees - 10% off-Panel allowance</v>
      </c>
      <c r="C25" s="38">
        <f>IF('Entry Form'!$B$407&lt;&gt;"Entry form complete","",'Entry Form'!$C$128)</f>
        <v>0</v>
      </c>
    </row>
    <row r="26" spans="1:5" ht="27" customHeight="1" x14ac:dyDescent="0.35">
      <c r="A26" s="105"/>
      <c r="B26" s="133" t="str">
        <f>IF('Entry Form'!$B$407="Entry form complete","Total value of professional fees - Exemption from AGD","")</f>
        <v>Total value of professional fees - Exemption from AGD</v>
      </c>
      <c r="C26" s="38">
        <f>IF('Entry Form'!$B$407&lt;&gt;"Entry form complete","",'Entry Form'!$C$129)</f>
        <v>0</v>
      </c>
    </row>
    <row r="27" spans="1:5" x14ac:dyDescent="0.35">
      <c r="A27" s="105"/>
      <c r="B27" s="133" t="str">
        <f>IF('Entry Form'!$B$407="Entry form complete","Total number of briefs to counsel","")</f>
        <v>Total number of briefs to counsel</v>
      </c>
      <c r="C27" s="39">
        <f>IF('Entry Form'!$B$407&lt;&gt;"Entry form complete","",SUM(counselnumbers))</f>
        <v>36</v>
      </c>
    </row>
    <row r="28" spans="1:5" ht="26.25" thickBot="1" x14ac:dyDescent="0.4">
      <c r="A28" s="105"/>
      <c r="B28" s="37"/>
      <c r="C28" s="27"/>
    </row>
    <row r="29" spans="1:5" ht="27" thickTop="1" thickBot="1" x14ac:dyDescent="0.4">
      <c r="A29" s="105"/>
      <c r="B29" s="126" t="str">
        <f>IF('Entry Form'!$B$407="Entry form complete","Are the Summary Totals correct?","")</f>
        <v>Are the Summary Totals correct?</v>
      </c>
      <c r="C29" s="18" t="s">
        <v>78</v>
      </c>
      <c r="D29" s="23" t="str">
        <f>IF(AND('Entry Form'!B407="Entry Form complete",C29=""),"E","")</f>
        <v/>
      </c>
      <c r="E29" s="41" t="str">
        <f>IF(B29="Are the Summary Totals correct?","E","")</f>
        <v>E</v>
      </c>
    </row>
    <row r="30" spans="1:5" ht="27" thickTop="1" thickBot="1" x14ac:dyDescent="0.4">
      <c r="A30" s="109"/>
      <c r="B30" s="42"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43"/>
    </row>
    <row r="31" spans="1:5" ht="36" customHeight="1" thickTop="1" thickBot="1" x14ac:dyDescent="0.4">
      <c r="A31" s="110"/>
      <c r="B31" s="44" t="str">
        <f>IF($B$30="Proceed to commentary","Expenditure Comparison","")</f>
        <v>Expenditure Comparison</v>
      </c>
      <c r="C31" s="45"/>
    </row>
    <row r="32" spans="1:5" ht="21" customHeight="1" thickTop="1" x14ac:dyDescent="0.35">
      <c r="A32" s="105"/>
      <c r="B32" s="37"/>
      <c r="C32" s="27"/>
    </row>
    <row r="33" spans="1:5" x14ac:dyDescent="0.35">
      <c r="A33" s="105"/>
      <c r="B33" s="131" t="str">
        <f>IF($B$30="Proceed to commentary","Total Legal Services Expenditure (2023-24)","")</f>
        <v>Total Legal Services Expenditure (2023-24)</v>
      </c>
      <c r="C33" s="46">
        <f>IF($B$30&lt;&gt;"Proceed to commentary","",$C$16)</f>
        <v>4888205</v>
      </c>
    </row>
    <row r="34" spans="1:5" x14ac:dyDescent="0.35">
      <c r="A34" s="105"/>
      <c r="B34" s="131" t="str">
        <f>IF($B$30="Proceed to commentary","Total Legal Services Expenditure (2022-23)","")</f>
        <v>Total Legal Services Expenditure (2022-23)</v>
      </c>
      <c r="C34" s="46">
        <f>IF($B$30&lt;&gt;"Proceed to commentary","",IF(ISNUMBER(MATCH($B$5,agencyname,0)),INDEX(total,MATCH($B$5,agencyname,0)),"N/A"))</f>
        <v>4610435</v>
      </c>
    </row>
    <row r="35" spans="1:5" ht="13.5" customHeight="1" x14ac:dyDescent="0.35">
      <c r="A35" s="105"/>
      <c r="B35" s="37"/>
      <c r="C35" s="47"/>
    </row>
    <row r="36" spans="1:5" x14ac:dyDescent="0.35">
      <c r="A36" s="105"/>
      <c r="B36" s="132" t="str">
        <f>IF($B$30="Proceed to commentary","Total expenditure change","")</f>
        <v>Total expenditure change</v>
      </c>
      <c r="C36" s="48">
        <f>IFERROR(IF($B$30&lt;&gt;"Proceed to commentary","",IF($C$34="N/A","N/A",$C$16-$C$34)),"")</f>
        <v>277770</v>
      </c>
    </row>
    <row r="37" spans="1:5" x14ac:dyDescent="0.35">
      <c r="A37" s="105"/>
      <c r="B37" s="132" t="str">
        <f>IF($B$30="Proceed to commentary","Internal expenditure change","")</f>
        <v>Internal expenditure change</v>
      </c>
      <c r="C37" s="48">
        <f>IF($B$30&lt;&gt;"Proceed to commentary","",IF($C$34="N/A","N/A",IF(ISNUMBER(MATCH($B$5,agencyname,0)),$C$17-INDEX(internal,MATCH($B$5,agencyname,0)),"N/A")))</f>
        <v>275079</v>
      </c>
    </row>
    <row r="38" spans="1:5" x14ac:dyDescent="0.35">
      <c r="A38" s="105"/>
      <c r="B38" s="132" t="str">
        <f>IF($B$30="Proceed to commentary","External expenditure change","")</f>
        <v>External expenditure change</v>
      </c>
      <c r="C38" s="48">
        <f>IF($B$30&lt;&gt;"Proceed to commentary","",IF($C$34="N/A","N/A",IF(ISNUMBER(MATCH($B$5,agencyname,0)),$C$18-INDEX(external,MATCH($B$5,agencyname,0)),"N/A")))</f>
        <v>2691</v>
      </c>
    </row>
    <row r="39" spans="1:5" ht="18.75" customHeight="1" thickBot="1" x14ac:dyDescent="0.4">
      <c r="A39" s="105"/>
      <c r="B39" s="37"/>
      <c r="C39" s="27"/>
    </row>
    <row r="40" spans="1:5" ht="27" thickTop="1" thickBot="1" x14ac:dyDescent="0.4">
      <c r="A40" s="109"/>
      <c r="B40" s="42"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OPTIONAL</v>
      </c>
      <c r="C40" s="43"/>
    </row>
    <row r="41" spans="1:5" ht="18.75" customHeight="1" thickTop="1" x14ac:dyDescent="0.35">
      <c r="A41" s="105"/>
      <c r="B41" s="37"/>
      <c r="C41" s="27"/>
    </row>
    <row r="42" spans="1:5" ht="71.25" customHeight="1" x14ac:dyDescent="0.35">
      <c r="A42" s="107" t="str">
        <f>IF($B$30="Proceed to commentary",A12,"")</f>
        <v xml:space="preserve">
Do I need to provide commentary?
</v>
      </c>
      <c r="B42" s="34" t="str">
        <f>IF($B$30="Proceed to commentary",B12,"")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v>
      </c>
      <c r="C42" s="35"/>
    </row>
    <row r="43" spans="1:5" ht="56.25" customHeight="1" x14ac:dyDescent="0.35">
      <c r="A43" s="107" t="str">
        <f>IF($B$30="Proceed to commentary",A13,"")</f>
        <v>Explaining a significant change in expenditure</v>
      </c>
      <c r="B43" s="34" t="str">
        <f>IF($B$30="Proceed to commentary",B13,"")</f>
        <v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v>
      </c>
      <c r="C43" s="35"/>
    </row>
    <row r="44" spans="1:5" ht="33" customHeight="1" x14ac:dyDescent="0.35">
      <c r="A44" s="111"/>
      <c r="B44" s="49" t="str">
        <f>IF($B$30&lt;&gt;"Proceed to commentary","","Please enter commentary below")</f>
        <v>Please enter commentary below</v>
      </c>
      <c r="C44" s="50"/>
    </row>
    <row r="45" spans="1:5" ht="143.25" customHeight="1" x14ac:dyDescent="0.35">
      <c r="A45" s="112"/>
      <c r="B45" s="19" t="s">
        <v>735</v>
      </c>
      <c r="C45" s="52" t="str">
        <f>IF(B30&lt;&gt;"Proceed to commentary","",IF(AND(B40="Commentary REQUIRED",B45=""),"E",""))</f>
        <v/>
      </c>
    </row>
    <row r="46" spans="1:5" ht="21.75" customHeight="1" thickBot="1" x14ac:dyDescent="0.4">
      <c r="A46" s="112"/>
      <c r="B46" s="53"/>
      <c r="C46" s="35"/>
    </row>
    <row r="47" spans="1:5" ht="27" thickTop="1" thickBot="1" x14ac:dyDescent="0.4">
      <c r="A47" s="112"/>
      <c r="B47" s="126" t="str">
        <f>IF('Entry Form'!$B$407="Entry form complete","Have you finished entering commentary?","")</f>
        <v>Have you finished entering commentary?</v>
      </c>
      <c r="C47" s="18" t="s">
        <v>78</v>
      </c>
      <c r="D47" s="23" t="str">
        <f>IF(B30&lt;&gt;"Proceed to commentary","",IF(OR(AND(B40="Commentary REQUIRED",C45&lt;&gt;"E",C47=""),AND(B40="Commentary OPTIONAL",C47="")),"E",""))</f>
        <v/>
      </c>
      <c r="E47" s="41" t="str">
        <f>IF(B47="Have you finished entering commentary?","E","")</f>
        <v>E</v>
      </c>
    </row>
    <row r="48" spans="1:5" ht="27" thickTop="1" thickBot="1" x14ac:dyDescent="0.4">
      <c r="A48" s="109"/>
      <c r="B48" s="42"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43"/>
    </row>
    <row r="49" spans="1:5" ht="26.25" thickTop="1" x14ac:dyDescent="0.35">
      <c r="A49" s="105"/>
      <c r="B49" s="37"/>
      <c r="C49" s="27"/>
    </row>
    <row r="50" spans="1:5" x14ac:dyDescent="0.35">
      <c r="A50" s="111"/>
      <c r="B50" s="49" t="str">
        <f>IF($B$48&lt;&gt;"Proceed to final confirmation","","Please read below")</f>
        <v>Please read below</v>
      </c>
      <c r="C50" s="50"/>
    </row>
    <row r="51" spans="1:5" ht="166.5" customHeight="1" x14ac:dyDescent="0.35">
      <c r="A51" s="112"/>
      <c r="B51" s="54" t="str">
        <f>IF($B$48&lt;&gt;"Proceed to final confirmation","",Text!B175)</f>
        <v xml:space="preserve">
You have completed all of the required fields in your entity’s Legal Services Expenditure Report template for 2023-24.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2023-24 will appear below. The report is locked for editing, so if you notice incorrect details you will need to revise your entries in the Entry form sheet. If you encounter any issues you may contact OLSC for assistance.
</v>
      </c>
      <c r="C51" s="35"/>
    </row>
    <row r="52" spans="1:5" ht="26.25" thickBot="1" x14ac:dyDescent="0.4">
      <c r="A52" s="112"/>
      <c r="B52" s="55"/>
      <c r="C52" s="35"/>
    </row>
    <row r="53" spans="1:5" ht="27" thickTop="1" thickBot="1" x14ac:dyDescent="0.4">
      <c r="A53" s="112"/>
      <c r="B53" s="40" t="str">
        <f>IF($B$48="Proceed to final confirmation","Please provide final confirmation of your entity's legal services expenditure","")</f>
        <v>Please provide final confirmation of your entity's legal services expenditure</v>
      </c>
      <c r="C53" s="18" t="s">
        <v>522</v>
      </c>
      <c r="D53" s="23" t="str">
        <f>IF(B48&lt;&gt;"Proceed to final confirmation","",IF(C53="","E",""))</f>
        <v/>
      </c>
      <c r="E53" s="41" t="str">
        <f>IF(B53="Please provide final confirmation of your entity's legal services expenditure","B","")</f>
        <v>B</v>
      </c>
    </row>
    <row r="54" spans="1:5" ht="27" thickTop="1" thickBot="1" x14ac:dyDescent="0.4">
      <c r="A54" s="109"/>
      <c r="B54" s="42" t="str">
        <f>IF($B$48&lt;&gt;"Proceed to final confirmation","",IF(D53="E","Please select 'I confirm' or 'I do not confirm' from the drop down list",IF($C$53="I do not confirm","Please revise Entry Form or contact OLSC for assistance",IF(AND($B$53&lt;&gt;"",$C$53="I confirm"),"Report complete",""))))</f>
        <v>Report complete</v>
      </c>
      <c r="C54" s="43"/>
    </row>
    <row r="55" spans="1:5" ht="26.25" thickTop="1" x14ac:dyDescent="0.35">
      <c r="A55" s="113"/>
      <c r="B55" s="56"/>
      <c r="C55" s="57"/>
    </row>
    <row r="56" spans="1:5" ht="160.5" customHeight="1" x14ac:dyDescent="0.35">
      <c r="A56" s="112"/>
      <c r="B56" s="54" t="str">
        <f>IF($B$54&lt;&gt;"Report complete","",Text!B177)</f>
        <v xml:space="preserve">
Your 2023-24 Legal Services Expenditure Report is now complete.
Below is your entity's Legal Services Expenditure Report for 2023-24.
Please save this template as a .XLSX file using the following naming convention: OLSC – [Name of Entity] (acronym) – 2023-24 LSER – [date sent to OLSC] 
For example: OLSC – Attorney-General’s Department (AGD) – 2023-24 LSER – 1 August 2024
Please email this completed template to LSER@ag.gov.au
</v>
      </c>
      <c r="C56" s="35"/>
    </row>
    <row r="57" spans="1:5" x14ac:dyDescent="0.35">
      <c r="A57" s="112"/>
      <c r="B57" s="53"/>
      <c r="C57" s="35"/>
    </row>
    <row r="58" spans="1:5" ht="39.75" customHeight="1" thickBot="1" x14ac:dyDescent="0.4">
      <c r="A58" s="114"/>
      <c r="B58" s="58" t="s">
        <v>729</v>
      </c>
      <c r="C58" s="59"/>
    </row>
    <row r="59" spans="1:5" ht="26.25" thickTop="1" x14ac:dyDescent="0.35">
      <c r="A59" s="105"/>
      <c r="B59" s="37"/>
      <c r="C59" s="27"/>
    </row>
    <row r="60" spans="1:5" ht="53.25" customHeight="1" x14ac:dyDescent="0.35">
      <c r="A60" s="112"/>
      <c r="B60" s="98" t="str">
        <f>IF($B$54&lt;&gt;"Report complete","","Entity name")</f>
        <v>Entity name</v>
      </c>
      <c r="C60" s="60" t="str">
        <f>IF($B$54&lt;&gt;"Report complete","",$B5)</f>
        <v>Professional Services Review</v>
      </c>
    </row>
    <row r="61" spans="1:5" x14ac:dyDescent="0.35">
      <c r="A61" s="112"/>
      <c r="B61" s="99" t="str">
        <f>IF($B$54&lt;&gt;"Report complete","","ABN")</f>
        <v>ABN</v>
      </c>
      <c r="C61" s="61" t="str">
        <f>IF($B$54&lt;&gt;"Report complete","",$B6)</f>
        <v>45 307 308 260</v>
      </c>
    </row>
    <row r="62" spans="1:5" x14ac:dyDescent="0.35">
      <c r="A62" s="105"/>
      <c r="B62" s="37"/>
      <c r="C62" s="27"/>
    </row>
    <row r="63" spans="1:5" ht="26.25" thickBot="1" x14ac:dyDescent="0.4">
      <c r="A63" s="110"/>
      <c r="B63" s="44" t="str">
        <f>IF($B$54&lt;&gt;"Report complete","","Totals")</f>
        <v>Totals</v>
      </c>
      <c r="C63" s="45"/>
    </row>
    <row r="64" spans="1:5" ht="26.25" thickTop="1" x14ac:dyDescent="0.35">
      <c r="A64" s="112"/>
      <c r="B64" s="51"/>
      <c r="C64" s="35"/>
    </row>
    <row r="65" spans="1:3" x14ac:dyDescent="0.35">
      <c r="A65" s="112"/>
      <c r="B65" s="99" t="str">
        <f>IF($B$54&lt;&gt;"Report complete","","Total legal services expenditure")</f>
        <v>Total legal services expenditure</v>
      </c>
      <c r="C65" s="62">
        <f>IF($B$54&lt;&gt;"Report complete","",$C16)</f>
        <v>4888205</v>
      </c>
    </row>
    <row r="66" spans="1:3" x14ac:dyDescent="0.35">
      <c r="A66" s="112"/>
      <c r="B66" s="99" t="str">
        <f>IF($B$54&lt;&gt;"Report complete","","Total internal legal services expenditure")</f>
        <v>Total internal legal services expenditure</v>
      </c>
      <c r="C66" s="62">
        <f>IF($B$54&lt;&gt;"Report complete","",$C17)</f>
        <v>3514505</v>
      </c>
    </row>
    <row r="67" spans="1:3" x14ac:dyDescent="0.35">
      <c r="A67" s="112"/>
      <c r="B67" s="99" t="str">
        <f>IF($B$54&lt;&gt;"Report complete","","Total external legal services expenditure")</f>
        <v>Total external legal services expenditure</v>
      </c>
      <c r="C67" s="62">
        <f>IF($B$54&lt;&gt;"Report complete","",$C18)</f>
        <v>1373700</v>
      </c>
    </row>
    <row r="68" spans="1:3" x14ac:dyDescent="0.35">
      <c r="A68" s="112"/>
      <c r="B68" s="51"/>
      <c r="C68" s="35"/>
    </row>
    <row r="69" spans="1:3" ht="26.25" thickBot="1" x14ac:dyDescent="0.4">
      <c r="A69" s="110" t="str">
        <f>IF($B$54&lt;&gt;"Report complete","","Section 1")</f>
        <v>Section 1</v>
      </c>
      <c r="B69" s="44" t="str">
        <f>IF($B$54&lt;&gt;"Report complete","","Internal Legal Services Expenditure")</f>
        <v>Internal Legal Services Expenditure</v>
      </c>
      <c r="C69" s="45"/>
    </row>
    <row r="70" spans="1:3" ht="26.25" thickTop="1" x14ac:dyDescent="0.35">
      <c r="A70" s="112"/>
      <c r="B70" s="51"/>
      <c r="C70" s="35"/>
    </row>
    <row r="71" spans="1:3" x14ac:dyDescent="0.35">
      <c r="A71" s="112"/>
      <c r="B71" s="99" t="str">
        <f>IF($B$54&lt;&gt;"Report complete","","Total value of internal legal services expenditure")</f>
        <v>Total value of internal legal services expenditure</v>
      </c>
      <c r="C71" s="62">
        <f>IF($B$54&lt;&gt;"Report complete","",'Entry Form'!$C34)</f>
        <v>3514505</v>
      </c>
    </row>
    <row r="72" spans="1:3" x14ac:dyDescent="0.35">
      <c r="A72" s="112"/>
      <c r="B72" s="51"/>
      <c r="C72" s="35"/>
    </row>
    <row r="73" spans="1:3" ht="26.25" thickBot="1" x14ac:dyDescent="0.4">
      <c r="A73" s="110" t="str">
        <f>IF($B$54&lt;&gt;"Report complete","","Section 2")</f>
        <v>Section 2</v>
      </c>
      <c r="B73" s="44" t="str">
        <f>IF($B$54&lt;&gt;"Report complete","","Counsel Briefs")</f>
        <v>Counsel Briefs</v>
      </c>
      <c r="C73" s="45"/>
    </row>
    <row r="74" spans="1:3" ht="26.25" thickTop="1" x14ac:dyDescent="0.35">
      <c r="A74" s="112"/>
      <c r="B74" s="51"/>
      <c r="C74" s="35"/>
    </row>
    <row r="75" spans="1:3" x14ac:dyDescent="0.35">
      <c r="A75" s="112"/>
      <c r="B75" s="99" t="str">
        <f>IF($B$54&lt;&gt;"Report complete","","Total number of briefs to counsel")</f>
        <v>Total number of briefs to counsel</v>
      </c>
      <c r="C75" s="95">
        <f>IF($B$54&lt;&gt;"Report complete","",SUM(C93,C111))</f>
        <v>36</v>
      </c>
    </row>
    <row r="76" spans="1:3" x14ac:dyDescent="0.35">
      <c r="A76" s="112"/>
      <c r="B76" s="99" t="str">
        <f>IF($B$54&lt;&gt;"Report complete","","Total value of briefs to counsel")</f>
        <v>Total value of briefs to counsel</v>
      </c>
      <c r="C76" s="62">
        <f>IF($B$54&lt;&gt;"Report complete","",SUM(C94,C112))</f>
        <v>175246</v>
      </c>
    </row>
    <row r="77" spans="1:3" x14ac:dyDescent="0.35">
      <c r="A77" s="112"/>
      <c r="B77" s="51"/>
      <c r="C77" s="35"/>
    </row>
    <row r="78" spans="1:3" ht="26.25" thickBot="1" x14ac:dyDescent="0.4">
      <c r="A78" s="115" t="str">
        <f>IF($B$54&lt;&gt;"Report complete","","Section 2a")</f>
        <v>Section 2a</v>
      </c>
      <c r="B78" s="63" t="str">
        <f>IF($B$54&lt;&gt;"Report complete","","Junior Counsel (direct briefs)")</f>
        <v>Junior Counsel (direct briefs)</v>
      </c>
      <c r="C78" s="64"/>
    </row>
    <row r="79" spans="1:3" x14ac:dyDescent="0.35">
      <c r="A79" s="112"/>
      <c r="B79" s="100" t="str">
        <f>IF($B$54&lt;&gt;"Report complete","","Total number of direct briefs to male junior counsel")</f>
        <v>Total number of direct briefs to male junior counsel</v>
      </c>
      <c r="C79" s="96">
        <f>IF($B$54&lt;&gt;"Report complete","",'Entry Form'!$C48)</f>
        <v>0</v>
      </c>
    </row>
    <row r="80" spans="1:3" x14ac:dyDescent="0.35">
      <c r="A80" s="112"/>
      <c r="B80" s="101" t="str">
        <f>IF($B$54&lt;&gt;"Report complete","","Total value of direct briefs to male junior counsel")</f>
        <v>Total value of direct briefs to male junior counsel</v>
      </c>
      <c r="C80" s="62">
        <f>IF($B$54&lt;&gt;"Report complete","",'Entry Form'!$C49)</f>
        <v>0</v>
      </c>
    </row>
    <row r="81" spans="1:3" x14ac:dyDescent="0.35">
      <c r="A81" s="112"/>
      <c r="B81" s="100" t="str">
        <f>IF($B$54&lt;&gt;"Report complete","","Total number of direct briefs to female junior counsel")</f>
        <v>Total number of direct briefs to female junior counsel</v>
      </c>
      <c r="C81" s="96">
        <f>IF($B$54&lt;&gt;"Report complete","",'Entry Form'!$C51)</f>
        <v>0</v>
      </c>
    </row>
    <row r="82" spans="1:3" x14ac:dyDescent="0.35">
      <c r="A82" s="112"/>
      <c r="B82" s="101" t="str">
        <f>IF($B$54&lt;&gt;"Report complete","","Total value of direct briefs to female junior counsel")</f>
        <v>Total value of direct briefs to female junior counsel</v>
      </c>
      <c r="C82" s="62">
        <f>IF($B$54&lt;&gt;"Report complete","",'Entry Form'!$C52)</f>
        <v>0</v>
      </c>
    </row>
    <row r="83" spans="1:3" x14ac:dyDescent="0.35">
      <c r="A83" s="112"/>
      <c r="B83" s="100" t="str">
        <f>IF($B$54&lt;&gt;"Report complete","","Total number of direct briefs to gender X junior counsel")</f>
        <v>Total number of direct briefs to gender X junior counsel</v>
      </c>
      <c r="C83" s="96">
        <f>IF($B$54&lt;&gt;"Report complete","",'Entry Form'!$C54)</f>
        <v>0</v>
      </c>
    </row>
    <row r="84" spans="1:3" x14ac:dyDescent="0.35">
      <c r="A84" s="112"/>
      <c r="B84" s="101" t="str">
        <f>IF($B$54&lt;&gt;"Report complete","","Total value of direct briefs to gender X junior counsel")</f>
        <v>Total value of direct briefs to gender X junior counsel</v>
      </c>
      <c r="C84" s="62">
        <f>IF($B$54&lt;&gt;"Report complete","",'Entry Form'!$C55)</f>
        <v>0</v>
      </c>
    </row>
    <row r="85" spans="1:3" ht="26.25" thickBot="1" x14ac:dyDescent="0.4">
      <c r="A85" s="112"/>
      <c r="B85" s="63" t="str">
        <f>IF($B$54&lt;&gt;"Report complete","","Junior Counsel (indirect briefs)")</f>
        <v>Junior Counsel (indirect briefs)</v>
      </c>
      <c r="C85" s="64"/>
    </row>
    <row r="86" spans="1:3" x14ac:dyDescent="0.35">
      <c r="A86" s="112"/>
      <c r="B86" s="100" t="str">
        <f>IF($B$54&lt;&gt;"Report complete","","Total number of indirect briefs to male junior counsel")</f>
        <v>Total number of indirect briefs to male junior counsel</v>
      </c>
      <c r="C86" s="96">
        <f>IF($B$54&lt;&gt;"Report complete","",'Entry Form'!$C60)</f>
        <v>2</v>
      </c>
    </row>
    <row r="87" spans="1:3" x14ac:dyDescent="0.35">
      <c r="A87" s="112"/>
      <c r="B87" s="101" t="str">
        <f>IF($B$54&lt;&gt;"Report complete","","Total value of indirect briefs to male junior counsel")</f>
        <v>Total value of indirect briefs to male junior counsel</v>
      </c>
      <c r="C87" s="62">
        <f>IF($B$54&lt;&gt;"Report complete","",'Entry Form'!$C61)</f>
        <v>27828</v>
      </c>
    </row>
    <row r="88" spans="1:3" x14ac:dyDescent="0.35">
      <c r="A88" s="112"/>
      <c r="B88" s="100" t="str">
        <f>IF($B$54&lt;&gt;"Report complete","","Total number of indirect briefs to female junior counsel")</f>
        <v>Total number of indirect briefs to female junior counsel</v>
      </c>
      <c r="C88" s="96">
        <f>IF($B$54&lt;&gt;"Report complete","",'Entry Form'!$C63)</f>
        <v>15</v>
      </c>
    </row>
    <row r="89" spans="1:3" x14ac:dyDescent="0.35">
      <c r="A89" s="112"/>
      <c r="B89" s="101" t="str">
        <f>IF($B$54&lt;&gt;"Report complete","","Total value of indirect briefs to female junior counsel")</f>
        <v>Total value of indirect briefs to female junior counsel</v>
      </c>
      <c r="C89" s="62">
        <f>IF($B$54&lt;&gt;"Report complete","",'Entry Form'!$C64)</f>
        <v>48966</v>
      </c>
    </row>
    <row r="90" spans="1:3" x14ac:dyDescent="0.35">
      <c r="A90" s="112"/>
      <c r="B90" s="100" t="str">
        <f>IF($B$54&lt;&gt;"Report complete","","Total number of indirect briefs to gender X junior counsel")</f>
        <v>Total number of indirect briefs to gender X junior counsel</v>
      </c>
      <c r="C90" s="96">
        <f>IF($B$54&lt;&gt;"Report complete","",'Entry Form'!$C66)</f>
        <v>0</v>
      </c>
    </row>
    <row r="91" spans="1:3" x14ac:dyDescent="0.35">
      <c r="A91" s="112"/>
      <c r="B91" s="101" t="str">
        <f>IF($B$54&lt;&gt;"Report complete","","Total value of indirect briefs to gender X junior counsel")</f>
        <v>Total value of indirect briefs to gender X junior counsel</v>
      </c>
      <c r="C91" s="62">
        <f>IF($B$54&lt;&gt;"Report complete","",'Entry Form'!$C67)</f>
        <v>0</v>
      </c>
    </row>
    <row r="92" spans="1:3" x14ac:dyDescent="0.35">
      <c r="A92" s="112"/>
      <c r="B92" s="51"/>
      <c r="C92" s="35"/>
    </row>
    <row r="93" spans="1:3" x14ac:dyDescent="0.35">
      <c r="A93" s="112"/>
      <c r="B93" s="99" t="str">
        <f>IF($B$54&lt;&gt;"Report complete","","Total number of briefs to junior counsel")</f>
        <v>Total number of briefs to junior counsel</v>
      </c>
      <c r="C93" s="97">
        <f>IF($B$54&lt;&gt;"Report complete","",SUM(C79,C81,C83,C86,C88,C90))</f>
        <v>17</v>
      </c>
    </row>
    <row r="94" spans="1:3" x14ac:dyDescent="0.35">
      <c r="A94" s="112"/>
      <c r="B94" s="99" t="str">
        <f>IF($B$54&lt;&gt;"Report complete","","Total value of briefs to junior counsel")</f>
        <v>Total value of briefs to junior counsel</v>
      </c>
      <c r="C94" s="65">
        <f>IF($B$54&lt;&gt;"Report complete","",SUM(C80,C82,C84,C87,C89,C91))</f>
        <v>76794</v>
      </c>
    </row>
    <row r="95" spans="1:3" x14ac:dyDescent="0.35">
      <c r="A95" s="112"/>
      <c r="B95" s="51"/>
      <c r="C95" s="35"/>
    </row>
    <row r="96" spans="1:3" ht="26.25" thickBot="1" x14ac:dyDescent="0.4">
      <c r="A96" s="115" t="str">
        <f>IF($B$54&lt;&gt;"Report complete","","Section 2b")</f>
        <v>Section 2b</v>
      </c>
      <c r="B96" s="63" t="str">
        <f>IF($B$54&lt;&gt;"Report complete","","Senior Counsel (direct briefs)")</f>
        <v>Senior Counsel (direct briefs)</v>
      </c>
      <c r="C96" s="64"/>
    </row>
    <row r="97" spans="1:3" x14ac:dyDescent="0.35">
      <c r="A97" s="112"/>
      <c r="B97" s="100" t="str">
        <f>IF($B$54&lt;&gt;"Report complete","","Total number of direct briefs to male senior counsel")</f>
        <v>Total number of direct briefs to male senior counsel</v>
      </c>
      <c r="C97" s="96">
        <f>IF($B$54&lt;&gt;"Report complete","",'Entry Form'!$C73)</f>
        <v>0</v>
      </c>
    </row>
    <row r="98" spans="1:3" x14ac:dyDescent="0.35">
      <c r="A98" s="112"/>
      <c r="B98" s="101" t="str">
        <f>IF($B$54&lt;&gt;"Report complete","","Total value of direct briefs to male senior counsel")</f>
        <v>Total value of direct briefs to male senior counsel</v>
      </c>
      <c r="C98" s="62">
        <f>IF($B$54&lt;&gt;"Report complete","",'Entry Form'!$C74)</f>
        <v>0</v>
      </c>
    </row>
    <row r="99" spans="1:3" x14ac:dyDescent="0.35">
      <c r="A99" s="112"/>
      <c r="B99" s="100" t="str">
        <f>IF($B$54&lt;&gt;"Report complete","","Total number of direct briefs to female senior counsel")</f>
        <v>Total number of direct briefs to female senior counsel</v>
      </c>
      <c r="C99" s="96">
        <f>IF($B$54&lt;&gt;"Report complete","",'Entry Form'!$C76)</f>
        <v>0</v>
      </c>
    </row>
    <row r="100" spans="1:3" x14ac:dyDescent="0.35">
      <c r="A100" s="112"/>
      <c r="B100" s="101" t="str">
        <f>IF($B$54&lt;&gt;"Report complete","","Total value of direct briefs to female senior counsel")</f>
        <v>Total value of direct briefs to female senior counsel</v>
      </c>
      <c r="C100" s="62">
        <f>IF($B$54&lt;&gt;"Report complete","",'Entry Form'!$C77)</f>
        <v>0</v>
      </c>
    </row>
    <row r="101" spans="1:3" x14ac:dyDescent="0.35">
      <c r="A101" s="112"/>
      <c r="B101" s="100" t="str">
        <f>IF($B$54&lt;&gt;"Report complete","","Total number of direct briefs to gender X senior counsel")</f>
        <v>Total number of direct briefs to gender X senior counsel</v>
      </c>
      <c r="C101" s="96">
        <f>IF($B$54&lt;&gt;"Report complete","",'Entry Form'!$C79)</f>
        <v>0</v>
      </c>
    </row>
    <row r="102" spans="1:3" x14ac:dyDescent="0.35">
      <c r="A102" s="112"/>
      <c r="B102" s="101" t="str">
        <f>IF($B$54&lt;&gt;"Report complete","","Total value of direct briefs to gender X senior counsel")</f>
        <v>Total value of direct briefs to gender X senior counsel</v>
      </c>
      <c r="C102" s="62">
        <f>IF($B$54&lt;&gt;"Report complete","",'Entry Form'!$C80)</f>
        <v>0</v>
      </c>
    </row>
    <row r="103" spans="1:3" ht="26.25" thickBot="1" x14ac:dyDescent="0.4">
      <c r="A103" s="112"/>
      <c r="B103" s="63" t="str">
        <f>IF($B$54&lt;&gt;"Report complete","","Senior Counsel (indirect briefs)")</f>
        <v>Senior Counsel (indirect briefs)</v>
      </c>
      <c r="C103" s="64"/>
    </row>
    <row r="104" spans="1:3" x14ac:dyDescent="0.35">
      <c r="A104" s="112"/>
      <c r="B104" s="100" t="str">
        <f>IF($B$54&lt;&gt;"Report complete","","Total number of indirect briefs to male senior counsel")</f>
        <v>Total number of indirect briefs to male senior counsel</v>
      </c>
      <c r="C104" s="96">
        <f>IF($B$54&lt;&gt;"Report complete","",'Entry Form'!$C85)</f>
        <v>18</v>
      </c>
    </row>
    <row r="105" spans="1:3" x14ac:dyDescent="0.35">
      <c r="A105" s="112"/>
      <c r="B105" s="101" t="str">
        <f>IF($B$54&lt;&gt;"Report complete","","Total value of indirect briefs to male senior counsel")</f>
        <v>Total value of indirect briefs to male senior counsel</v>
      </c>
      <c r="C105" s="62">
        <f>IF($B$54&lt;&gt;"Report complete","",'Entry Form'!$C86)</f>
        <v>87305</v>
      </c>
    </row>
    <row r="106" spans="1:3" x14ac:dyDescent="0.35">
      <c r="A106" s="112"/>
      <c r="B106" s="100" t="str">
        <f>IF($B$54&lt;&gt;"Report complete","","Total number of indirect briefs to female senior counsel")</f>
        <v>Total number of indirect briefs to female senior counsel</v>
      </c>
      <c r="C106" s="96">
        <f>IF($B$54&lt;&gt;"Report complete","",'Entry Form'!$C88)</f>
        <v>1</v>
      </c>
    </row>
    <row r="107" spans="1:3" x14ac:dyDescent="0.35">
      <c r="A107" s="112"/>
      <c r="B107" s="101" t="str">
        <f>IF($B$54&lt;&gt;"Report complete","","Total value of indirect briefs to female senior counsel")</f>
        <v>Total value of indirect briefs to female senior counsel</v>
      </c>
      <c r="C107" s="62">
        <f>IF($B$54&lt;&gt;"Report complete","",'Entry Form'!$C89)</f>
        <v>11147</v>
      </c>
    </row>
    <row r="108" spans="1:3" x14ac:dyDescent="0.35">
      <c r="A108" s="112"/>
      <c r="B108" s="100" t="str">
        <f>IF($B$54&lt;&gt;"Report complete","","Total number of indirect briefs to gender X senior counsel")</f>
        <v>Total number of indirect briefs to gender X senior counsel</v>
      </c>
      <c r="C108" s="96">
        <f>IF($B$54&lt;&gt;"Report complete","",'Entry Form'!$C91)</f>
        <v>0</v>
      </c>
    </row>
    <row r="109" spans="1:3" x14ac:dyDescent="0.35">
      <c r="A109" s="112"/>
      <c r="B109" s="101" t="str">
        <f>IF($B$54&lt;&gt;"Report complete","","Total value of indirect briefs to gender X senior counsel")</f>
        <v>Total value of indirect briefs to gender X senior counsel</v>
      </c>
      <c r="C109" s="62">
        <f>IF($B$54&lt;&gt;"Report complete","",'Entry Form'!$C92)</f>
        <v>0</v>
      </c>
    </row>
    <row r="110" spans="1:3" x14ac:dyDescent="0.35">
      <c r="A110" s="112"/>
      <c r="B110" s="51"/>
      <c r="C110" s="35"/>
    </row>
    <row r="111" spans="1:3" x14ac:dyDescent="0.35">
      <c r="A111" s="112"/>
      <c r="B111" s="99" t="str">
        <f>IF($B$54&lt;&gt;"Report complete","","Total number of briefs to senior counsel")</f>
        <v>Total number of briefs to senior counsel</v>
      </c>
      <c r="C111" s="97">
        <f>IF($B$54&lt;&gt;"Report complete","",SUM(C97,C99,C101,C104,C106,C108))</f>
        <v>19</v>
      </c>
    </row>
    <row r="112" spans="1:3" x14ac:dyDescent="0.35">
      <c r="A112" s="112"/>
      <c r="B112" s="99" t="str">
        <f>IF($B$54&lt;&gt;"Report complete","","Total value of briefs to senior counsel")</f>
        <v>Total value of briefs to senior counsel</v>
      </c>
      <c r="C112" s="65">
        <f>IF($B$54&lt;&gt;"Report complete","",SUM(C98,C100,C102,C105,C107,C109))</f>
        <v>98452</v>
      </c>
    </row>
    <row r="113" spans="1:3" x14ac:dyDescent="0.35">
      <c r="A113" s="112"/>
      <c r="B113" s="51"/>
      <c r="C113" s="35"/>
    </row>
    <row r="114" spans="1:3" ht="26.25" thickBot="1" x14ac:dyDescent="0.4">
      <c r="A114" s="110" t="str">
        <f>IF($B$54&lt;&gt;"Report complete","","Section 3")</f>
        <v>Section 3</v>
      </c>
      <c r="B114" s="44" t="str">
        <f>IF($B$54&lt;&gt;"Report complete","","Disbursements")</f>
        <v>Disbursements</v>
      </c>
      <c r="C114" s="45"/>
    </row>
    <row r="115" spans="1:3" ht="26.25" thickTop="1" x14ac:dyDescent="0.35">
      <c r="A115" s="112"/>
      <c r="B115" s="51"/>
      <c r="C115" s="35"/>
    </row>
    <row r="116" spans="1:3" x14ac:dyDescent="0.35">
      <c r="A116" s="112"/>
      <c r="B116" s="99" t="str">
        <f>IF($B$54&lt;&gt;"Report complete","","Total value of disbursements")</f>
        <v>Total value of disbursements</v>
      </c>
      <c r="C116" s="62">
        <f>IF($B$54&lt;&gt;"Report complete","",'Entry Form'!$C104)</f>
        <v>19139</v>
      </c>
    </row>
    <row r="117" spans="1:3" x14ac:dyDescent="0.35">
      <c r="A117" s="112"/>
      <c r="B117" s="51"/>
      <c r="C117" s="35"/>
    </row>
    <row r="118" spans="1:3" ht="26.25" thickBot="1" x14ac:dyDescent="0.4">
      <c r="A118" s="110" t="str">
        <f>IF($B$54&lt;&gt;"Report complete","","Section 4")</f>
        <v>Section 4</v>
      </c>
      <c r="B118" s="44" t="str">
        <f>IF($B$54&lt;&gt;"Report complete","","Legal Services Panels")</f>
        <v>Legal Services Panels</v>
      </c>
      <c r="C118" s="45"/>
    </row>
    <row r="119" spans="1:3" ht="26.25" thickTop="1" x14ac:dyDescent="0.35">
      <c r="A119" s="112"/>
      <c r="B119" s="51"/>
      <c r="C119" s="35"/>
    </row>
    <row r="120" spans="1:3" x14ac:dyDescent="0.35">
      <c r="A120" s="112"/>
      <c r="B120" s="99" t="str">
        <f>IF($B$54&lt;&gt;"Report complete","","Does your entity participate in the Whole of Australian Government Legal Services Panel")</f>
        <v>Does your entity participate in the Whole of Australian Government Legal Services Panel</v>
      </c>
      <c r="C120" s="66" t="str">
        <f>IF($B$54&lt;&gt;"Report complete","",'Entry Form'!$C117)</f>
        <v>Yes</v>
      </c>
    </row>
    <row r="121" spans="1:3" x14ac:dyDescent="0.35">
      <c r="A121" s="112"/>
      <c r="B121" s="102" t="str">
        <f>IF($C$120&lt;&gt;"Yes","","Panel fee for 2023-24")</f>
        <v>Panel fee for 2023-24</v>
      </c>
      <c r="C121" s="62">
        <f>IF($B$54&lt;&gt;"Report complete","",'Entry Form'!$C126)</f>
        <v>4377</v>
      </c>
    </row>
    <row r="122" spans="1:3" x14ac:dyDescent="0.35">
      <c r="A122" s="112"/>
      <c r="B122" s="51"/>
      <c r="C122" s="35"/>
    </row>
    <row r="123" spans="1:3" x14ac:dyDescent="0.35">
      <c r="A123" s="112"/>
      <c r="B123" s="102" t="str">
        <f>IF($C$120&lt;&gt;"Yes","","Total value of professional fees expenditure on 10% off-Panel allowance")</f>
        <v>Total value of professional fees expenditure on 10% off-Panel allowance</v>
      </c>
      <c r="C123" s="62">
        <f>IF($B$54&lt;&gt;"Report complete","",'Entry Form'!$C128)</f>
        <v>0</v>
      </c>
    </row>
    <row r="124" spans="1:3" x14ac:dyDescent="0.35">
      <c r="A124" s="112"/>
      <c r="B124" s="102" t="str">
        <f>IF($C$120&lt;&gt;"Yes","","Total value of professional fees expenditure on exemptions from using the Panel")</f>
        <v>Total value of professional fees expenditure on exemptions from using the Panel</v>
      </c>
      <c r="C124" s="62">
        <f>IF($B$54&lt;&gt;"Report complete","",'Entry Form'!$C129)</f>
        <v>0</v>
      </c>
    </row>
    <row r="125" spans="1:3" x14ac:dyDescent="0.35">
      <c r="A125" s="112"/>
      <c r="B125" s="51"/>
      <c r="C125" s="35"/>
    </row>
    <row r="126" spans="1:3" x14ac:dyDescent="0.35">
      <c r="A126" s="112"/>
      <c r="B126" s="99" t="str">
        <f>IF($B$54&lt;&gt;"Report complete","","Total value of professional fees expenditure on Provision of Tax Technical Legal Services Panel for 2023-24")</f>
        <v>Total value of professional fees expenditure on Provision of Tax Technical Legal Services Panel for 2023-24</v>
      </c>
      <c r="C126" s="62">
        <f>IF($B$54&lt;&gt;"Report complete","",'Entry Form'!$C119)</f>
        <v>0</v>
      </c>
    </row>
    <row r="127" spans="1:3" x14ac:dyDescent="0.35">
      <c r="A127" s="112"/>
      <c r="B127" s="99" t="str">
        <f>IF($B$54&lt;&gt;"Report complete","","Total value of professional fees expenditure on ACCC/AER Competition and Consumer Panel 2019 for 2023-24")</f>
        <v>Total value of professional fees expenditure on ACCC/AER Competition and Consumer Panel 2019 for 2023-24</v>
      </c>
      <c r="C127" s="62">
        <f>IF($B$54&lt;&gt;"Report complete","",'Entry Form'!$C121)</f>
        <v>0</v>
      </c>
    </row>
    <row r="128" spans="1:3" x14ac:dyDescent="0.35">
      <c r="A128" s="112"/>
      <c r="B128" s="51"/>
      <c r="C128" s="35"/>
    </row>
    <row r="129" spans="1:3" ht="26.25" thickBot="1" x14ac:dyDescent="0.4">
      <c r="A129" s="110" t="str">
        <f>IF($B$54&lt;&gt;"Report complete","","Section 5")</f>
        <v>Section 5</v>
      </c>
      <c r="B129" s="44" t="str">
        <f>IF($B$54&lt;&gt;"Report complete","","Professional fees")</f>
        <v>Professional fees</v>
      </c>
      <c r="C129" s="45"/>
    </row>
    <row r="130" spans="1:3" ht="26.25" thickTop="1" x14ac:dyDescent="0.35">
      <c r="A130" s="112"/>
      <c r="B130" s="51"/>
      <c r="C130" s="35"/>
    </row>
    <row r="131" spans="1:3" x14ac:dyDescent="0.35">
      <c r="A131" s="112"/>
      <c r="B131" s="99" t="str">
        <f>IF($B$54&lt;&gt;"Report complete","","Total value of professional fees")</f>
        <v>Total value of professional fees</v>
      </c>
      <c r="C131" s="62">
        <f>IF($B$54&lt;&gt;"Report complete","",SUM(C142:C189,C139,C134:C136))</f>
        <v>1179315</v>
      </c>
    </row>
    <row r="132" spans="1:3" x14ac:dyDescent="0.35">
      <c r="A132" s="112"/>
      <c r="B132" s="51"/>
      <c r="C132" s="35"/>
    </row>
    <row r="133" spans="1:3" ht="26.25" thickBot="1" x14ac:dyDescent="0.4">
      <c r="A133" s="115" t="str">
        <f>IF($B$54&lt;&gt;"Report complete","","Section 5a")</f>
        <v>Section 5a</v>
      </c>
      <c r="B133" s="63" t="str">
        <f>IF($B$54&lt;&gt;"Report complete","","Other Government Providers")</f>
        <v>Other Government Providers</v>
      </c>
      <c r="C133" s="64"/>
    </row>
    <row r="134" spans="1:3" x14ac:dyDescent="0.35">
      <c r="A134" s="112"/>
      <c r="B134" s="102" t="str">
        <f>IF($B$54&lt;&gt;"Report complete","","Attorney-General's Department (DO NOT INCLUDE PANEL FEE)")</f>
        <v>Attorney-General's Department (DO NOT INCLUDE PANEL FEE)</v>
      </c>
      <c r="C134" s="62">
        <f>IF($B$54&lt;&gt;"Report complete","",'Entry Form'!$C145)</f>
        <v>0</v>
      </c>
    </row>
    <row r="135" spans="1:3" x14ac:dyDescent="0.35">
      <c r="A135" s="112"/>
      <c r="B135" s="102" t="str">
        <f>IF($B$54&lt;&gt;"Report complete","","Department of Foreign Affairs and Trade")</f>
        <v>Department of Foreign Affairs and Trade</v>
      </c>
      <c r="C135" s="62">
        <f>IF($B$54&lt;&gt;"Report complete","",'Entry Form'!$C147)</f>
        <v>0</v>
      </c>
    </row>
    <row r="136" spans="1:3" x14ac:dyDescent="0.35">
      <c r="A136" s="112"/>
      <c r="B136" s="102" t="str">
        <f>IF($B$54&lt;&gt;"Report complete","","Office of Parliamentary Counsel")</f>
        <v>Office of Parliamentary Counsel</v>
      </c>
      <c r="C136" s="62">
        <f>IF($B$54&lt;&gt;"Report complete","",'Entry Form'!$C149)</f>
        <v>0</v>
      </c>
    </row>
    <row r="137" spans="1:3" x14ac:dyDescent="0.35">
      <c r="A137" s="112"/>
      <c r="B137" s="51"/>
      <c r="C137" s="35"/>
    </row>
    <row r="138" spans="1:3" ht="26.25" thickBot="1" x14ac:dyDescent="0.4">
      <c r="A138" s="115" t="str">
        <f>IF($B$54&lt;&gt;"Report complete","","Section 5b")</f>
        <v>Section 5b</v>
      </c>
      <c r="B138" s="63" t="str">
        <f>IF($B$54&lt;&gt;"Report complete","","Overseas Legal Services Providers")</f>
        <v>Overseas Legal Services Providers</v>
      </c>
      <c r="C138" s="64"/>
    </row>
    <row r="139" spans="1:3" x14ac:dyDescent="0.35">
      <c r="A139" s="112"/>
      <c r="B139" s="102" t="str">
        <f>IF($B$54&lt;&gt;"Report complete","","Overseas firms (total figure)")</f>
        <v>Overseas firms (total figure)</v>
      </c>
      <c r="C139" s="62">
        <f>IF($B$54&lt;&gt;"Report complete","",'Entry Form'!$C155)</f>
        <v>0</v>
      </c>
    </row>
    <row r="140" spans="1:3" x14ac:dyDescent="0.35">
      <c r="A140" s="112"/>
      <c r="B140" s="51"/>
      <c r="C140" s="35"/>
    </row>
    <row r="141" spans="1:3" ht="26.25" thickBot="1" x14ac:dyDescent="0.4">
      <c r="A141" s="115" t="str">
        <f>IF($B$54&lt;&gt;"Report complete","","Section 5c")</f>
        <v>Section 5c</v>
      </c>
      <c r="B141" s="63" t="str">
        <f>IF($B$54&lt;&gt;"Report complete","","Domestic Providers")</f>
        <v>Domestic Providers</v>
      </c>
      <c r="C141" s="64"/>
    </row>
    <row r="142" spans="1:3" x14ac:dyDescent="0.35">
      <c r="A142" s="112"/>
      <c r="B142" s="100" t="str">
        <f>IF($B$54&lt;&gt;"Report complete","","Australian Government Solicitor")</f>
        <v>Australian Government Solicitor</v>
      </c>
      <c r="C142" s="62">
        <f>IF($B$54&lt;&gt;"Report complete","",'Entry Form'!$C161)</f>
        <v>100555</v>
      </c>
    </row>
    <row r="143" spans="1:3" x14ac:dyDescent="0.35">
      <c r="A143" s="112"/>
      <c r="B143" s="103" t="str">
        <f>IF($B$54&lt;&gt;"Report complete","",IF(NOT(ISNUMBER(MATCH(Formulas!$O2,domestic,0))),"",IF(INDEX(firmnames,MATCH(Formulas!$O2,domestic,0))&lt;&gt;"PROVIDER NOT LISTED",INDEX(firmnames,MATCH(Formulas!$O2,domestic,0)),INDEX(firmnames,MATCH(Formulas!$O2,domestic,0)+1))))</f>
        <v>Clayton Utz</v>
      </c>
      <c r="C143" s="62">
        <f>IF($B$54&lt;&gt;"Report complete","",IF(NOT(ISNUMBER(MATCH(Formulas!$O2,domestic,0))),"",INDEX(firmnames,MATCH(Formulas!$O2,domestic,0)+2)))</f>
        <v>207552</v>
      </c>
    </row>
    <row r="144" spans="1:3" x14ac:dyDescent="0.35">
      <c r="A144" s="112"/>
      <c r="B144" s="103" t="str">
        <f>IF($B$54&lt;&gt;"Report complete","",IF(NOT(ISNUMBER(MATCH(Formulas!$O3,domestic,0))),"",IF(INDEX(firmnames,MATCH(Formulas!$O3,domestic,0))&lt;&gt;"PROVIDER NOT LISTED",INDEX(firmnames,MATCH(Formulas!$O3,domestic,0)),INDEX(firmnames,MATCH(Formulas!$O3,domestic,0)+1))))</f>
        <v>lawyerbank</v>
      </c>
      <c r="C144" s="62">
        <f>IF($B$54&lt;&gt;"Report complete","",IF(NOT(ISNUMBER(MATCH(Formulas!$O3,domestic,0))),"",INDEX(firmnames,MATCH(Formulas!$O3,domestic,0)+2)))</f>
        <v>253320</v>
      </c>
    </row>
    <row r="145" spans="1:3" x14ac:dyDescent="0.35">
      <c r="A145" s="112"/>
      <c r="B145" s="103" t="str">
        <f>IF($B$54&lt;&gt;"Report complete","",IF(NOT(ISNUMBER(MATCH(Formulas!$O4,domestic,0))),"",IF(INDEX(firmnames,MATCH(Formulas!$O4,domestic,0))&lt;&gt;"PROVIDER NOT LISTED",INDEX(firmnames,MATCH(Formulas!$O4,domestic,0)),INDEX(firmnames,MATCH(Formulas!$O4,domestic,0)+1))))</f>
        <v>Sparke Helmore</v>
      </c>
      <c r="C145" s="62">
        <f>IF($B$54&lt;&gt;"Report complete","",IF(NOT(ISNUMBER(MATCH(Formulas!$O4,domestic,0))),"",INDEX(firmnames,MATCH(Formulas!$O4,domestic,0)+2)))</f>
        <v>617888</v>
      </c>
    </row>
    <row r="146" spans="1:3" x14ac:dyDescent="0.35">
      <c r="A146" s="112"/>
      <c r="B146" s="103" t="str">
        <f>IF($B$54&lt;&gt;"Report complete","",IF(NOT(ISNUMBER(MATCH(Formulas!$O5,domestic,0))),"",IF(INDEX(firmnames,MATCH(Formulas!$O5,domestic,0))&lt;&gt;"PROVIDER NOT LISTED",INDEX(firmnames,MATCH(Formulas!$O5,domestic,0)),INDEX(firmnames,MATCH(Formulas!$O5,domestic,0)+1))))</f>
        <v/>
      </c>
      <c r="C146" s="62" t="str">
        <f>IF($B$54&lt;&gt;"Report complete","",IF(NOT(ISNUMBER(MATCH(Formulas!$O5,domestic,0))),"",INDEX(firmnames,MATCH(Formulas!$O5,domestic,0)+2)))</f>
        <v/>
      </c>
    </row>
    <row r="147" spans="1:3" x14ac:dyDescent="0.35">
      <c r="A147" s="112"/>
      <c r="B147" s="103" t="str">
        <f>IF($B$54&lt;&gt;"Report complete","",IF(NOT(ISNUMBER(MATCH(Formulas!$O6,domestic,0))),"",IF(INDEX(firmnames,MATCH(Formulas!$O6,domestic,0))&lt;&gt;"PROVIDER NOT LISTED",INDEX(firmnames,MATCH(Formulas!$O6,domestic,0)),INDEX(firmnames,MATCH(Formulas!$O6,domestic,0)+1))))</f>
        <v/>
      </c>
      <c r="C147" s="62" t="str">
        <f>IF($B$54&lt;&gt;"Report complete","",IF(NOT(ISNUMBER(MATCH(Formulas!$O6,domestic,0))),"",INDEX(firmnames,MATCH(Formulas!$O6,domestic,0)+2)))</f>
        <v/>
      </c>
    </row>
    <row r="148" spans="1:3" x14ac:dyDescent="0.35">
      <c r="A148" s="112"/>
      <c r="B148" s="103" t="str">
        <f>IF($B$54&lt;&gt;"Report complete","",IF(NOT(ISNUMBER(MATCH(Formulas!$O7,domestic,0))),"",IF(INDEX(firmnames,MATCH(Formulas!$O7,domestic,0))&lt;&gt;"PROVIDER NOT LISTED",INDEX(firmnames,MATCH(Formulas!$O7,domestic,0)),INDEX(firmnames,MATCH(Formulas!$O7,domestic,0)+1))))</f>
        <v/>
      </c>
      <c r="C148" s="62" t="str">
        <f>IF($B$54&lt;&gt;"Report complete","",IF(NOT(ISNUMBER(MATCH(Formulas!$O7,domestic,0))),"",INDEX(firmnames,MATCH(Formulas!$O7,domestic,0)+2)))</f>
        <v/>
      </c>
    </row>
    <row r="149" spans="1:3" x14ac:dyDescent="0.35">
      <c r="A149" s="112"/>
      <c r="B149" s="103" t="str">
        <f>IF($B$54&lt;&gt;"Report complete","",IF(NOT(ISNUMBER(MATCH(Formulas!$O8,domestic,0))),"",IF(INDEX(firmnames,MATCH(Formulas!$O8,domestic,0))&lt;&gt;"PROVIDER NOT LISTED",INDEX(firmnames,MATCH(Formulas!$O8,domestic,0)),INDEX(firmnames,MATCH(Formulas!$O8,domestic,0)+1))))</f>
        <v/>
      </c>
      <c r="C149" s="62" t="str">
        <f>IF($B$54&lt;&gt;"Report complete","",IF(NOT(ISNUMBER(MATCH(Formulas!$O8,domestic,0))),"",INDEX(firmnames,MATCH(Formulas!$O8,domestic,0)+2)))</f>
        <v/>
      </c>
    </row>
    <row r="150" spans="1:3" x14ac:dyDescent="0.35">
      <c r="A150" s="112"/>
      <c r="B150" s="103" t="str">
        <f>IF($B$54&lt;&gt;"Report complete","",IF(NOT(ISNUMBER(MATCH(Formulas!$O9,domestic,0))),"",IF(INDEX(firmnames,MATCH(Formulas!$O9,domestic,0))&lt;&gt;"PROVIDER NOT LISTED",INDEX(firmnames,MATCH(Formulas!$O9,domestic,0)),INDEX(firmnames,MATCH(Formulas!$O9,domestic,0)+1))))</f>
        <v/>
      </c>
      <c r="C150" s="62" t="str">
        <f>IF($B$54&lt;&gt;"Report complete","",IF(NOT(ISNUMBER(MATCH(Formulas!$O9,domestic,0))),"",INDEX(firmnames,MATCH(Formulas!$O9,domestic,0)+2)))</f>
        <v/>
      </c>
    </row>
    <row r="151" spans="1:3" x14ac:dyDescent="0.35">
      <c r="A151" s="112"/>
      <c r="B151" s="103" t="str">
        <f>IF($B$54&lt;&gt;"Report complete","",IF(NOT(ISNUMBER(MATCH(Formulas!$O10,domestic,0))),"",IF(INDEX(firmnames,MATCH(Formulas!$O10,domestic,0))&lt;&gt;"PROVIDER NOT LISTED",INDEX(firmnames,MATCH(Formulas!$O10,domestic,0)),INDEX(firmnames,MATCH(Formulas!$O10,domestic,0)+1))))</f>
        <v/>
      </c>
      <c r="C151" s="62" t="str">
        <f>IF($B$54&lt;&gt;"Report complete","",IF(NOT(ISNUMBER(MATCH(Formulas!$O10,domestic,0))),"",INDEX(firmnames,MATCH(Formulas!$O10,domestic,0)+2)))</f>
        <v/>
      </c>
    </row>
    <row r="152" spans="1:3" x14ac:dyDescent="0.35">
      <c r="A152" s="112"/>
      <c r="B152" s="103" t="str">
        <f>IF($B$54&lt;&gt;"Report complete","",IF(NOT(ISNUMBER(MATCH(Formulas!$O11,domestic,0))),"",IF(INDEX(firmnames,MATCH(Formulas!$O11,domestic,0))&lt;&gt;"PROVIDER NOT LISTED",INDEX(firmnames,MATCH(Formulas!$O11,domestic,0)),INDEX(firmnames,MATCH(Formulas!$O11,domestic,0)+1))))</f>
        <v/>
      </c>
      <c r="C152" s="62" t="str">
        <f>IF($B$54&lt;&gt;"Report complete","",IF(NOT(ISNUMBER(MATCH(Formulas!$O11,domestic,0))),"",INDEX(firmnames,MATCH(Formulas!$O11,domestic,0)+2)))</f>
        <v/>
      </c>
    </row>
    <row r="153" spans="1:3" x14ac:dyDescent="0.35">
      <c r="A153" s="112"/>
      <c r="B153" s="103" t="str">
        <f>IF($B$54&lt;&gt;"Report complete","",IF(NOT(ISNUMBER(MATCH(Formulas!$O12,domestic,0))),"",IF(INDEX(firmnames,MATCH(Formulas!$O12,domestic,0))&lt;&gt;"PROVIDER NOT LISTED",INDEX(firmnames,MATCH(Formulas!$O12,domestic,0)),INDEX(firmnames,MATCH(Formulas!$O12,domestic,0)+1))))</f>
        <v/>
      </c>
      <c r="C153" s="62" t="str">
        <f>IF($B$54&lt;&gt;"Report complete","",IF(NOT(ISNUMBER(MATCH(Formulas!$O12,domestic,0))),"",INDEX(firmnames,MATCH(Formulas!$O12,domestic,0)+2)))</f>
        <v/>
      </c>
    </row>
    <row r="154" spans="1:3" x14ac:dyDescent="0.35">
      <c r="A154" s="112"/>
      <c r="B154" s="103" t="str">
        <f>IF($B$54&lt;&gt;"Report complete","",IF(NOT(ISNUMBER(MATCH(Formulas!$O13,domestic,0))),"",IF(INDEX(firmnames,MATCH(Formulas!$O13,domestic,0))&lt;&gt;"PROVIDER NOT LISTED",INDEX(firmnames,MATCH(Formulas!$O13,domestic,0)),INDEX(firmnames,MATCH(Formulas!$O13,domestic,0)+1))))</f>
        <v/>
      </c>
      <c r="C154" s="62" t="str">
        <f>IF($B$54&lt;&gt;"Report complete","",IF(NOT(ISNUMBER(MATCH(Formulas!$O13,domestic,0))),"",INDEX(firmnames,MATCH(Formulas!$O13,domestic,0)+2)))</f>
        <v/>
      </c>
    </row>
    <row r="155" spans="1:3" x14ac:dyDescent="0.35">
      <c r="A155" s="112"/>
      <c r="B155" s="103" t="str">
        <f>IF($B$54&lt;&gt;"Report complete","",IF(NOT(ISNUMBER(MATCH(Formulas!$O14,domestic,0))),"",IF(INDEX(firmnames,MATCH(Formulas!$O14,domestic,0))&lt;&gt;"PROVIDER NOT LISTED",INDEX(firmnames,MATCH(Formulas!$O14,domestic,0)),INDEX(firmnames,MATCH(Formulas!$O14,domestic,0)+1))))</f>
        <v/>
      </c>
      <c r="C155" s="62" t="str">
        <f>IF($B$54&lt;&gt;"Report complete","",IF(NOT(ISNUMBER(MATCH(Formulas!$O14,domestic,0))),"",INDEX(firmnames,MATCH(Formulas!$O14,domestic,0)+2)))</f>
        <v/>
      </c>
    </row>
    <row r="156" spans="1:3" x14ac:dyDescent="0.35">
      <c r="A156" s="112"/>
      <c r="B156" s="103" t="str">
        <f>IF($B$54&lt;&gt;"Report complete","",IF(NOT(ISNUMBER(MATCH(Formulas!$O15,domestic,0))),"",IF(INDEX(firmnames,MATCH(Formulas!$O15,domestic,0))&lt;&gt;"PROVIDER NOT LISTED",INDEX(firmnames,MATCH(Formulas!$O15,domestic,0)),INDEX(firmnames,MATCH(Formulas!$O15,domestic,0)+1))))</f>
        <v/>
      </c>
      <c r="C156" s="62" t="str">
        <f>IF($B$54&lt;&gt;"Report complete","",IF(NOT(ISNUMBER(MATCH(Formulas!$O15,domestic,0))),"",INDEX(firmnames,MATCH(Formulas!$O15,domestic,0)+2)))</f>
        <v/>
      </c>
    </row>
    <row r="157" spans="1:3" x14ac:dyDescent="0.35">
      <c r="A157" s="112"/>
      <c r="B157" s="103" t="str">
        <f>IF($B$54&lt;&gt;"Report complete","",IF(NOT(ISNUMBER(MATCH(Formulas!$O16,domestic,0))),"",IF(INDEX(firmnames,MATCH(Formulas!$O16,domestic,0))&lt;&gt;"PROVIDER NOT LISTED",INDEX(firmnames,MATCH(Formulas!$O16,domestic,0)),INDEX(firmnames,MATCH(Formulas!$O16,domestic,0)+1))))</f>
        <v/>
      </c>
      <c r="C157" s="62" t="str">
        <f>IF($B$54&lt;&gt;"Report complete","",IF(NOT(ISNUMBER(MATCH(Formulas!$O16,domestic,0))),"",INDEX(firmnames,MATCH(Formulas!$O16,domestic,0)+2)))</f>
        <v/>
      </c>
    </row>
    <row r="158" spans="1:3" x14ac:dyDescent="0.35">
      <c r="A158" s="112"/>
      <c r="B158" s="103" t="str">
        <f>IF($B$54&lt;&gt;"Report complete","",IF(NOT(ISNUMBER(MATCH(Formulas!$O17,domestic,0))),"",IF(INDEX(firmnames,MATCH(Formulas!$O17,domestic,0))&lt;&gt;"PROVIDER NOT LISTED",INDEX(firmnames,MATCH(Formulas!$O17,domestic,0)),INDEX(firmnames,MATCH(Formulas!$O17,domestic,0)+1))))</f>
        <v/>
      </c>
      <c r="C158" s="62" t="str">
        <f>IF($B$54&lt;&gt;"Report complete","",IF(NOT(ISNUMBER(MATCH(Formulas!$O17,domestic,0))),"",INDEX(firmnames,MATCH(Formulas!$O17,domestic,0)+2)))</f>
        <v/>
      </c>
    </row>
    <row r="159" spans="1:3" x14ac:dyDescent="0.35">
      <c r="A159" s="112"/>
      <c r="B159" s="103" t="str">
        <f>IF($B$54&lt;&gt;"Report complete","",IF(NOT(ISNUMBER(MATCH(Formulas!$O18,domestic,0))),"",IF(INDEX(firmnames,MATCH(Formulas!$O18,domestic,0))&lt;&gt;"PROVIDER NOT LISTED",INDEX(firmnames,MATCH(Formulas!$O18,domestic,0)),INDEX(firmnames,MATCH(Formulas!$O18,domestic,0)+1))))</f>
        <v/>
      </c>
      <c r="C159" s="62" t="str">
        <f>IF($B$54&lt;&gt;"Report complete","",IF(NOT(ISNUMBER(MATCH(Formulas!$O18,domestic,0))),"",INDEX(firmnames,MATCH(Formulas!$O18,domestic,0)+2)))</f>
        <v/>
      </c>
    </row>
    <row r="160" spans="1:3" x14ac:dyDescent="0.35">
      <c r="A160" s="112"/>
      <c r="B160" s="103" t="str">
        <f>IF($B$54&lt;&gt;"Report complete","",IF(NOT(ISNUMBER(MATCH(Formulas!$O19,domestic,0))),"",IF(INDEX(firmnames,MATCH(Formulas!$O19,domestic,0))&lt;&gt;"PROVIDER NOT LISTED",INDEX(firmnames,MATCH(Formulas!$O19,domestic,0)),INDEX(firmnames,MATCH(Formulas!$O19,domestic,0)+1))))</f>
        <v/>
      </c>
      <c r="C160" s="62" t="str">
        <f>IF($B$54&lt;&gt;"Report complete","",IF(NOT(ISNUMBER(MATCH(Formulas!$O19,domestic,0))),"",INDEX(firmnames,MATCH(Formulas!$O19,domestic,0)+2)))</f>
        <v/>
      </c>
    </row>
    <row r="161" spans="1:3" x14ac:dyDescent="0.35">
      <c r="A161" s="112"/>
      <c r="B161" s="103" t="str">
        <f>IF($B$54&lt;&gt;"Report complete","",IF(NOT(ISNUMBER(MATCH(Formulas!$O20,domestic,0))),"",IF(INDEX(firmnames,MATCH(Formulas!$O20,domestic,0))&lt;&gt;"PROVIDER NOT LISTED",INDEX(firmnames,MATCH(Formulas!$O20,domestic,0)),INDEX(firmnames,MATCH(Formulas!$O20,domestic,0)+1))))</f>
        <v/>
      </c>
      <c r="C161" s="62" t="str">
        <f>IF($B$54&lt;&gt;"Report complete","",IF(NOT(ISNUMBER(MATCH(Formulas!$O20,domestic,0))),"",INDEX(firmnames,MATCH(Formulas!$O20,domestic,0)+2)))</f>
        <v/>
      </c>
    </row>
    <row r="162" spans="1:3" x14ac:dyDescent="0.35">
      <c r="A162" s="112"/>
      <c r="B162" s="103" t="str">
        <f>IF($B$54&lt;&gt;"Report complete","",IF(NOT(ISNUMBER(MATCH(Formulas!$O21,domestic,0))),"",IF(INDEX(firmnames,MATCH(Formulas!$O21,domestic,0))&lt;&gt;"PROVIDER NOT LISTED",INDEX(firmnames,MATCH(Formulas!$O21,domestic,0)),INDEX(firmnames,MATCH(Formulas!$O21,domestic,0)+1))))</f>
        <v/>
      </c>
      <c r="C162" s="62" t="str">
        <f>IF($B$54&lt;&gt;"Report complete","",IF(NOT(ISNUMBER(MATCH(Formulas!$O21,domestic,0))),"",INDEX(firmnames,MATCH(Formulas!$O21,domestic,0)+2)))</f>
        <v/>
      </c>
    </row>
    <row r="163" spans="1:3" x14ac:dyDescent="0.35">
      <c r="A163" s="112"/>
      <c r="B163" s="103" t="str">
        <f>IF($B$54&lt;&gt;"Report complete","",IF(NOT(ISNUMBER(MATCH(Formulas!$O22,domestic,0))),"",IF(INDEX(firmnames,MATCH(Formulas!$O22,domestic,0))&lt;&gt;"PROVIDER NOT LISTED",INDEX(firmnames,MATCH(Formulas!$O22,domestic,0)),INDEX(firmnames,MATCH(Formulas!$O22,domestic,0)+1))))</f>
        <v/>
      </c>
      <c r="C163" s="62" t="str">
        <f>IF($B$54&lt;&gt;"Report complete","",IF(NOT(ISNUMBER(MATCH(Formulas!$O22,domestic,0))),"",INDEX(firmnames,MATCH(Formulas!$O22,domestic,0)+2)))</f>
        <v/>
      </c>
    </row>
    <row r="164" spans="1:3" x14ac:dyDescent="0.35">
      <c r="A164" s="112"/>
      <c r="B164" s="103" t="str">
        <f>IF($B$54&lt;&gt;"Report complete","",IF(NOT(ISNUMBER(MATCH(Formulas!$O23,domestic,0))),"",IF(INDEX(firmnames,MATCH(Formulas!$O23,domestic,0))&lt;&gt;"PROVIDER NOT LISTED",INDEX(firmnames,MATCH(Formulas!$O23,domestic,0)),INDEX(firmnames,MATCH(Formulas!$O23,domestic,0)+1))))</f>
        <v/>
      </c>
      <c r="C164" s="62" t="str">
        <f>IF($B$54&lt;&gt;"Report complete","",IF(NOT(ISNUMBER(MATCH(Formulas!$O23,domestic,0))),"",INDEX(firmnames,MATCH(Formulas!$O23,domestic,0)+2)))</f>
        <v/>
      </c>
    </row>
    <row r="165" spans="1:3" x14ac:dyDescent="0.35">
      <c r="A165" s="112"/>
      <c r="B165" s="103" t="str">
        <f>IF($B$54&lt;&gt;"Report complete","",IF(NOT(ISNUMBER(MATCH(Formulas!$O24,domestic,0))),"",IF(INDEX(firmnames,MATCH(Formulas!$O24,domestic,0))&lt;&gt;"PROVIDER NOT LISTED",INDEX(firmnames,MATCH(Formulas!$O24,domestic,0)),INDEX(firmnames,MATCH(Formulas!$O24,domestic,0)+1))))</f>
        <v/>
      </c>
      <c r="C165" s="62" t="str">
        <f>IF($B$54&lt;&gt;"Report complete","",IF(NOT(ISNUMBER(MATCH(Formulas!$O24,domestic,0))),"",INDEX(firmnames,MATCH(Formulas!$O24,domestic,0)+2)))</f>
        <v/>
      </c>
    </row>
    <row r="166" spans="1:3" x14ac:dyDescent="0.35">
      <c r="A166" s="112"/>
      <c r="B166" s="103" t="str">
        <f>IF($B$54&lt;&gt;"Report complete","",IF(NOT(ISNUMBER(MATCH(Formulas!$O25,domestic,0))),"",IF(INDEX(firmnames,MATCH(Formulas!$O25,domestic,0))&lt;&gt;"PROVIDER NOT LISTED",INDEX(firmnames,MATCH(Formulas!$O25,domestic,0)),INDEX(firmnames,MATCH(Formulas!$O25,domestic,0)+1))))</f>
        <v/>
      </c>
      <c r="C166" s="62" t="str">
        <f>IF($B$54&lt;&gt;"Report complete","",IF(NOT(ISNUMBER(MATCH(Formulas!$O25,domestic,0))),"",INDEX(firmnames,MATCH(Formulas!$O25,domestic,0)+2)))</f>
        <v/>
      </c>
    </row>
    <row r="167" spans="1:3" x14ac:dyDescent="0.35">
      <c r="A167" s="112"/>
      <c r="B167" s="103" t="str">
        <f>IF($B$54&lt;&gt;"Report complete","",IF(NOT(ISNUMBER(MATCH(Formulas!$O26,domestic,0))),"",IF(INDEX(firmnames,MATCH(Formulas!$O26,domestic,0))&lt;&gt;"PROVIDER NOT LISTED",INDEX(firmnames,MATCH(Formulas!$O26,domestic,0)),INDEX(firmnames,MATCH(Formulas!$O26,domestic,0)+1))))</f>
        <v/>
      </c>
      <c r="C167" s="62" t="str">
        <f>IF($B$54&lt;&gt;"Report complete","",IF(NOT(ISNUMBER(MATCH(Formulas!$O26,domestic,0))),"",INDEX(firmnames,MATCH(Formulas!$O26,domestic,0)+2)))</f>
        <v/>
      </c>
    </row>
    <row r="168" spans="1:3" x14ac:dyDescent="0.35">
      <c r="A168" s="112"/>
      <c r="B168" s="103" t="str">
        <f>IF($B$54&lt;&gt;"Report complete","",IF(NOT(ISNUMBER(MATCH(Formulas!$O27,domestic,0))),"",IF(INDEX(firmnames,MATCH(Formulas!$O27,domestic,0))&lt;&gt;"PROVIDER NOT LISTED",INDEX(firmnames,MATCH(Formulas!$O27,domestic,0)),INDEX(firmnames,MATCH(Formulas!$O27,domestic,0)+1))))</f>
        <v/>
      </c>
      <c r="C168" s="62" t="str">
        <f>IF($B$54&lt;&gt;"Report complete","",IF(NOT(ISNUMBER(MATCH(Formulas!$O27,domestic,0))),"",INDEX(firmnames,MATCH(Formulas!$O27,domestic,0)+2)))</f>
        <v/>
      </c>
    </row>
    <row r="169" spans="1:3" x14ac:dyDescent="0.35">
      <c r="A169" s="112"/>
      <c r="B169" s="103" t="str">
        <f>IF($B$54&lt;&gt;"Report complete","",IF(NOT(ISNUMBER(MATCH(Formulas!$O28,domestic,0))),"",IF(INDEX(firmnames,MATCH(Formulas!$O28,domestic,0))&lt;&gt;"PROVIDER NOT LISTED",INDEX(firmnames,MATCH(Formulas!$O28,domestic,0)),INDEX(firmnames,MATCH(Formulas!$O28,domestic,0)+1))))</f>
        <v/>
      </c>
      <c r="C169" s="62" t="str">
        <f>IF($B$54&lt;&gt;"Report complete","",IF(NOT(ISNUMBER(MATCH(Formulas!$O28,domestic,0))),"",INDEX(firmnames,MATCH(Formulas!$O28,domestic,0)+2)))</f>
        <v/>
      </c>
    </row>
    <row r="170" spans="1:3" x14ac:dyDescent="0.35">
      <c r="A170" s="112"/>
      <c r="B170" s="103" t="str">
        <f>IF($B$54&lt;&gt;"Report complete","",IF(NOT(ISNUMBER(MATCH(Formulas!$O29,domestic,0))),"",IF(INDEX(firmnames,MATCH(Formulas!$O29,domestic,0))&lt;&gt;"PROVIDER NOT LISTED",INDEX(firmnames,MATCH(Formulas!$O29,domestic,0)),INDEX(firmnames,MATCH(Formulas!$O29,domestic,0)+1))))</f>
        <v/>
      </c>
      <c r="C170" s="62" t="str">
        <f>IF($B$54&lt;&gt;"Report complete","",IF(NOT(ISNUMBER(MATCH(Formulas!$O29,domestic,0))),"",INDEX(firmnames,MATCH(Formulas!$O29,domestic,0)+2)))</f>
        <v/>
      </c>
    </row>
    <row r="171" spans="1:3" x14ac:dyDescent="0.35">
      <c r="A171" s="112"/>
      <c r="B171" s="103" t="str">
        <f>IF($B$54&lt;&gt;"Report complete","",IF(NOT(ISNUMBER(MATCH(Formulas!$O30,domestic,0))),"",IF(INDEX(firmnames,MATCH(Formulas!$O30,domestic,0))&lt;&gt;"PROVIDER NOT LISTED",INDEX(firmnames,MATCH(Formulas!$O30,domestic,0)),INDEX(firmnames,MATCH(Formulas!$O30,domestic,0)+1))))</f>
        <v/>
      </c>
      <c r="C171" s="62" t="str">
        <f>IF($B$54&lt;&gt;"Report complete","",IF(NOT(ISNUMBER(MATCH(Formulas!$O30,domestic,0))),"",INDEX(firmnames,MATCH(Formulas!$O30,domestic,0)+2)))</f>
        <v/>
      </c>
    </row>
    <row r="172" spans="1:3" x14ac:dyDescent="0.35">
      <c r="A172" s="112"/>
      <c r="B172" s="103" t="str">
        <f>IF($B$54&lt;&gt;"Report complete","",IF(NOT(ISNUMBER(MATCH(Formulas!$O31,domestic,0))),"",IF(INDEX(firmnames,MATCH(Formulas!$O31,domestic,0))&lt;&gt;"PROVIDER NOT LISTED",INDEX(firmnames,MATCH(Formulas!$O31,domestic,0)),INDEX(firmnames,MATCH(Formulas!$O31,domestic,0)+1))))</f>
        <v/>
      </c>
      <c r="C172" s="62" t="str">
        <f>IF($B$54&lt;&gt;"Report complete","",IF(NOT(ISNUMBER(MATCH(Formulas!$O31,domestic,0))),"",INDEX(firmnames,MATCH(Formulas!$O31,domestic,0)+2)))</f>
        <v/>
      </c>
    </row>
    <row r="173" spans="1:3" x14ac:dyDescent="0.35">
      <c r="A173" s="112"/>
      <c r="B173" s="103" t="str">
        <f>IF($B$54&lt;&gt;"Report complete","",IF(NOT(ISNUMBER(MATCH(Formulas!$O32,domestic,0))),"",IF(INDEX(firmnames,MATCH(Formulas!$O32,domestic,0))&lt;&gt;"PROVIDER NOT LISTED",INDEX(firmnames,MATCH(Formulas!$O32,domestic,0)),INDEX(firmnames,MATCH(Formulas!$O32,domestic,0)+1))))</f>
        <v/>
      </c>
      <c r="C173" s="62" t="str">
        <f>IF($B$54&lt;&gt;"Report complete","",IF(NOT(ISNUMBER(MATCH(Formulas!$O32,domestic,0))),"",INDEX(firmnames,MATCH(Formulas!$O32,domestic,0)+2)))</f>
        <v/>
      </c>
    </row>
    <row r="174" spans="1:3" x14ac:dyDescent="0.35">
      <c r="A174" s="112"/>
      <c r="B174" s="103" t="str">
        <f>IF($B$54&lt;&gt;"Report complete","",IF(NOT(ISNUMBER(MATCH(Formulas!$O33,domestic,0))),"",IF(INDEX(firmnames,MATCH(Formulas!$O33,domestic,0))&lt;&gt;"PROVIDER NOT LISTED",INDEX(firmnames,MATCH(Formulas!$O33,domestic,0)),INDEX(firmnames,MATCH(Formulas!$O33,domestic,0)+1))))</f>
        <v/>
      </c>
      <c r="C174" s="62" t="str">
        <f>IF($B$54&lt;&gt;"Report complete","",IF(NOT(ISNUMBER(MATCH(Formulas!$O33,domestic,0))),"",INDEX(firmnames,MATCH(Formulas!$O33,domestic,0)+2)))</f>
        <v/>
      </c>
    </row>
    <row r="175" spans="1:3" x14ac:dyDescent="0.35">
      <c r="A175" s="112"/>
      <c r="B175" s="103" t="str">
        <f>IF($B$54&lt;&gt;"Report complete","",IF(NOT(ISNUMBER(MATCH(Formulas!$O34,domestic,0))),"",IF(INDEX(firmnames,MATCH(Formulas!$O34,domestic,0))&lt;&gt;"PROVIDER NOT LISTED",INDEX(firmnames,MATCH(Formulas!$O34,domestic,0)),INDEX(firmnames,MATCH(Formulas!$O34,domestic,0)+1))))</f>
        <v/>
      </c>
      <c r="C175" s="62" t="str">
        <f>IF($B$54&lt;&gt;"Report complete","",IF(NOT(ISNUMBER(MATCH(Formulas!$O34,domestic,0))),"",INDEX(firmnames,MATCH(Formulas!$O34,domestic,0)+2)))</f>
        <v/>
      </c>
    </row>
    <row r="176" spans="1:3" x14ac:dyDescent="0.35">
      <c r="A176" s="112"/>
      <c r="B176" s="103" t="str">
        <f>IF($B$54&lt;&gt;"Report complete","",IF(NOT(ISNUMBER(MATCH(Formulas!$O35,domestic,0))),"",IF(INDEX(firmnames,MATCH(Formulas!$O35,domestic,0))&lt;&gt;"PROVIDER NOT LISTED",INDEX(firmnames,MATCH(Formulas!$O35,domestic,0)),INDEX(firmnames,MATCH(Formulas!$O35,domestic,0)+1))))</f>
        <v/>
      </c>
      <c r="C176" s="62" t="str">
        <f>IF($B$54&lt;&gt;"Report complete","",IF(NOT(ISNUMBER(MATCH(Formulas!$O35,domestic,0))),"",INDEX(firmnames,MATCH(Formulas!$O35,domestic,0)+2)))</f>
        <v/>
      </c>
    </row>
    <row r="177" spans="1:3" x14ac:dyDescent="0.35">
      <c r="A177" s="112"/>
      <c r="B177" s="103" t="str">
        <f>IF($B$54&lt;&gt;"Report complete","",IF(NOT(ISNUMBER(MATCH(Formulas!$O36,domestic,0))),"",IF(INDEX(firmnames,MATCH(Formulas!$O36,domestic,0))&lt;&gt;"PROVIDER NOT LISTED",INDEX(firmnames,MATCH(Formulas!$O36,domestic,0)),INDEX(firmnames,MATCH(Formulas!$O36,domestic,0)+1))))</f>
        <v/>
      </c>
      <c r="C177" s="62" t="str">
        <f>IF($B$54&lt;&gt;"Report complete","",IF(NOT(ISNUMBER(MATCH(Formulas!$O36,domestic,0))),"",INDEX(firmnames,MATCH(Formulas!$O36,domestic,0)+2)))</f>
        <v/>
      </c>
    </row>
    <row r="178" spans="1:3" x14ac:dyDescent="0.35">
      <c r="A178" s="112"/>
      <c r="B178" s="103" t="str">
        <f>IF($B$54&lt;&gt;"Report complete","",IF(NOT(ISNUMBER(MATCH(Formulas!$O37,domestic,0))),"",IF(INDEX(firmnames,MATCH(Formulas!$O37,domestic,0))&lt;&gt;"PROVIDER NOT LISTED",INDEX(firmnames,MATCH(Formulas!$O37,domestic,0)),INDEX(firmnames,MATCH(Formulas!$O37,domestic,0)+1))))</f>
        <v/>
      </c>
      <c r="C178" s="62" t="str">
        <f>IF($B$54&lt;&gt;"Report complete","",IF(NOT(ISNUMBER(MATCH(Formulas!$O37,domestic,0))),"",INDEX(firmnames,MATCH(Formulas!$O37,domestic,0)+2)))</f>
        <v/>
      </c>
    </row>
    <row r="179" spans="1:3" x14ac:dyDescent="0.35">
      <c r="A179" s="112"/>
      <c r="B179" s="103" t="str">
        <f>IF($B$54&lt;&gt;"Report complete","",IF(NOT(ISNUMBER(MATCH(Formulas!$O38,domestic,0))),"",IF(INDEX(firmnames,MATCH(Formulas!$O38,domestic,0))&lt;&gt;"PROVIDER NOT LISTED",INDEX(firmnames,MATCH(Formulas!$O38,domestic,0)),INDEX(firmnames,MATCH(Formulas!$O38,domestic,0)+1))))</f>
        <v/>
      </c>
      <c r="C179" s="62" t="str">
        <f>IF($B$54&lt;&gt;"Report complete","",IF(NOT(ISNUMBER(MATCH(Formulas!$O38,domestic,0))),"",INDEX(firmnames,MATCH(Formulas!$O38,domestic,0)+2)))</f>
        <v/>
      </c>
    </row>
    <row r="180" spans="1:3" x14ac:dyDescent="0.35">
      <c r="A180" s="112"/>
      <c r="B180" s="103" t="str">
        <f>IF($B$54&lt;&gt;"Report complete","",IF(NOT(ISNUMBER(MATCH(Formulas!$O39,domestic,0))),"",IF(INDEX(firmnames,MATCH(Formulas!$O39,domestic,0))&lt;&gt;"PROVIDER NOT LISTED",INDEX(firmnames,MATCH(Formulas!$O39,domestic,0)),INDEX(firmnames,MATCH(Formulas!$O39,domestic,0)+1))))</f>
        <v/>
      </c>
      <c r="C180" s="62" t="str">
        <f>IF($B$54&lt;&gt;"Report complete","",IF(NOT(ISNUMBER(MATCH(Formulas!$O39,domestic,0))),"",INDEX(firmnames,MATCH(Formulas!$O39,domestic,0)+2)))</f>
        <v/>
      </c>
    </row>
    <row r="181" spans="1:3" x14ac:dyDescent="0.35">
      <c r="A181" s="112"/>
      <c r="B181" s="103" t="str">
        <f>IF($B$54&lt;&gt;"Report complete","",IF(NOT(ISNUMBER(MATCH(Formulas!$O40,domestic,0))),"",IF(INDEX(firmnames,MATCH(Formulas!$O40,domestic,0))&lt;&gt;"PROVIDER NOT LISTED",INDEX(firmnames,MATCH(Formulas!$O40,domestic,0)),INDEX(firmnames,MATCH(Formulas!$O40,domestic,0)+1))))</f>
        <v/>
      </c>
      <c r="C181" s="62" t="str">
        <f>IF($B$54&lt;&gt;"Report complete","",IF(NOT(ISNUMBER(MATCH(Formulas!$O40,domestic,0))),"",INDEX(firmnames,MATCH(Formulas!$O40,domestic,0)+2)))</f>
        <v/>
      </c>
    </row>
    <row r="182" spans="1:3" x14ac:dyDescent="0.35">
      <c r="A182" s="112"/>
      <c r="B182" s="103" t="str">
        <f>IF($B$54&lt;&gt;"Report complete","",IF(NOT(ISNUMBER(MATCH(Formulas!$O41,domestic,0))),"",IF(INDEX(firmnames,MATCH(Formulas!$O41,domestic,0))&lt;&gt;"PROVIDER NOT LISTED",INDEX(firmnames,MATCH(Formulas!$O41,domestic,0)),INDEX(firmnames,MATCH(Formulas!$O41,domestic,0)+1))))</f>
        <v/>
      </c>
      <c r="C182" s="62" t="str">
        <f>IF($B$54&lt;&gt;"Report complete","",IF(NOT(ISNUMBER(MATCH(Formulas!$O41,domestic,0))),"",INDEX(firmnames,MATCH(Formulas!$O41,domestic,0)+2)))</f>
        <v/>
      </c>
    </row>
    <row r="183" spans="1:3" x14ac:dyDescent="0.35">
      <c r="A183" s="112"/>
      <c r="B183" s="103" t="str">
        <f>IF($B$54&lt;&gt;"Report complete","",IF(NOT(ISNUMBER(MATCH(Formulas!$O42,domestic,0))),"",IF(INDEX(firmnames,MATCH(Formulas!$O42,domestic,0))&lt;&gt;"PROVIDER NOT LISTED",INDEX(firmnames,MATCH(Formulas!$O42,domestic,0)),INDEX(firmnames,MATCH(Formulas!$O42,domestic,0)+1))))</f>
        <v/>
      </c>
      <c r="C183" s="62" t="str">
        <f>IF($B$54&lt;&gt;"Report complete","",IF(NOT(ISNUMBER(MATCH(Formulas!$O42,domestic,0))),"",INDEX(firmnames,MATCH(Formulas!$O42,domestic,0)+2)))</f>
        <v/>
      </c>
    </row>
    <row r="184" spans="1:3" x14ac:dyDescent="0.35">
      <c r="A184" s="112"/>
      <c r="B184" s="103" t="str">
        <f>IF($B$54&lt;&gt;"Report complete","",IF(NOT(ISNUMBER(MATCH(Formulas!$O43,domestic,0))),"",IF(INDEX(firmnames,MATCH(Formulas!$O43,domestic,0))&lt;&gt;"PROVIDER NOT LISTED",INDEX(firmnames,MATCH(Formulas!$O43,domestic,0)),INDEX(firmnames,MATCH(Formulas!$O43,domestic,0)+1))))</f>
        <v/>
      </c>
      <c r="C184" s="62" t="str">
        <f>IF($B$54&lt;&gt;"Report complete","",IF(NOT(ISNUMBER(MATCH(Formulas!$O43,domestic,0))),"",INDEX(firmnames,MATCH(Formulas!$O43,domestic,0)+2)))</f>
        <v/>
      </c>
    </row>
    <row r="185" spans="1:3" x14ac:dyDescent="0.35">
      <c r="A185" s="112"/>
      <c r="B185" s="103" t="str">
        <f>IF($B$54&lt;&gt;"Report complete","",IF(NOT(ISNUMBER(MATCH(Formulas!$O44,domestic,0))),"",IF(INDEX(firmnames,MATCH(Formulas!$O44,domestic,0))&lt;&gt;"PROVIDER NOT LISTED",INDEX(firmnames,MATCH(Formulas!$O44,domestic,0)),INDEX(firmnames,MATCH(Formulas!$O44,domestic,0)+1))))</f>
        <v/>
      </c>
      <c r="C185" s="62" t="str">
        <f>IF($B$54&lt;&gt;"Report complete","",IF(NOT(ISNUMBER(MATCH(Formulas!$O44,domestic,0))),"",INDEX(firmnames,MATCH(Formulas!$O44,domestic,0)+2)))</f>
        <v/>
      </c>
    </row>
    <row r="186" spans="1:3" x14ac:dyDescent="0.35">
      <c r="A186" s="112"/>
      <c r="B186" s="103" t="str">
        <f>IF($B$54&lt;&gt;"Report complete","",IF(NOT(ISNUMBER(MATCH(Formulas!$O45,domestic,0))),"",IF(INDEX(firmnames,MATCH(Formulas!$O45,domestic,0))&lt;&gt;"PROVIDER NOT LISTED",INDEX(firmnames,MATCH(Formulas!$O45,domestic,0)),INDEX(firmnames,MATCH(Formulas!$O45,domestic,0)+1))))</f>
        <v/>
      </c>
      <c r="C186" s="62" t="str">
        <f>IF($B$54&lt;&gt;"Report complete","",IF(NOT(ISNUMBER(MATCH(Formulas!$O45,domestic,0))),"",INDEX(firmnames,MATCH(Formulas!$O45,domestic,0)+2)))</f>
        <v/>
      </c>
    </row>
    <row r="187" spans="1:3" x14ac:dyDescent="0.35">
      <c r="A187" s="112"/>
      <c r="B187" s="103" t="str">
        <f>IF($B$54&lt;&gt;"Report complete","",IF(NOT(ISNUMBER(MATCH(Formulas!$O46,domestic,0))),"",IF(INDEX(firmnames,MATCH(Formulas!$O46,domestic,0))&lt;&gt;"PROVIDER NOT LISTED",INDEX(firmnames,MATCH(Formulas!$O46,domestic,0)),INDEX(firmnames,MATCH(Formulas!$O46,domestic,0)+1))))</f>
        <v/>
      </c>
      <c r="C187" s="62" t="str">
        <f>IF($B$54&lt;&gt;"Report complete","",IF(NOT(ISNUMBER(MATCH(Formulas!$O46,domestic,0))),"",INDEX(firmnames,MATCH(Formulas!$O46,domestic,0)+2)))</f>
        <v/>
      </c>
    </row>
    <row r="188" spans="1:3" x14ac:dyDescent="0.35">
      <c r="A188" s="112"/>
      <c r="B188" s="103" t="str">
        <f>IF($B$54&lt;&gt;"Report complete","",IF(NOT(ISNUMBER(MATCH(Formulas!$O47,domestic,0))),"",IF(INDEX(firmnames,MATCH(Formulas!$O47,domestic,0))&lt;&gt;"PROVIDER NOT LISTED",INDEX(firmnames,MATCH(Formulas!$O47,domestic,0)),INDEX(firmnames,MATCH(Formulas!$O47,domestic,0)+1))))</f>
        <v/>
      </c>
      <c r="C188" s="62" t="str">
        <f>IF($B$54&lt;&gt;"Report complete","",IF(NOT(ISNUMBER(MATCH(Formulas!$O47,domestic,0))),"",INDEX(firmnames,MATCH(Formulas!$O47,domestic,0)+2)))</f>
        <v/>
      </c>
    </row>
    <row r="189" spans="1:3" x14ac:dyDescent="0.35">
      <c r="A189" s="112"/>
      <c r="B189" s="101" t="str">
        <f>IF($B$54&lt;&gt;"Report complete","",IF(NOT(ISNUMBER(MATCH(Formulas!$O48,domestic,0))),"",IF(INDEX(firmnames,MATCH(Formulas!$O48,domestic,0))&lt;&gt;"PROVIDER NOT LISTED",INDEX(firmnames,MATCH(Formulas!$O48,domestic,0)),INDEX(firmnames,MATCH(Formulas!$O48,domestic,0)+1))))</f>
        <v/>
      </c>
      <c r="C189" s="62" t="str">
        <f>IF($B$54&lt;&gt;"Report complete","",IF(NOT(ISNUMBER(MATCH(Formulas!$O48,domestic,0))),"",INDEX(firmnames,MATCH(Formulas!$O48,domestic,0)+2)))</f>
        <v/>
      </c>
    </row>
    <row r="190" spans="1:3" ht="26.25" thickBot="1" x14ac:dyDescent="0.4">
      <c r="A190" s="116"/>
      <c r="B190" s="67"/>
      <c r="C190" s="68"/>
    </row>
  </sheetData>
  <sheetProtection algorithmName="SHA-256" hashValue="xGWOxsRzt2w0iV8rvDk5+DlhUEgYgDv5Uq5tVBYfvOQ=" saltValue="cQoA0zSyp8ih2X7qaLGHbA==" spinCount="100000" sheet="1" objects="1" scenarios="1"/>
  <conditionalFormatting sqref="A1:A190">
    <cfRule type="expression" dxfId="19" priority="1">
      <formula>$B$1="Legal Services Expenditure Report 2020-21"</formula>
    </cfRule>
  </conditionalFormatting>
  <conditionalFormatting sqref="A31:C31">
    <cfRule type="expression" dxfId="11" priority="13">
      <formula>$B30&lt;&gt;"Proceed to commentary"</formula>
    </cfRule>
  </conditionalFormatting>
  <conditionalFormatting sqref="A32:C46">
    <cfRule type="expression" dxfId="10" priority="17">
      <formula>$B$30&lt;&gt;"Proceed to commentary"</formula>
    </cfRule>
  </conditionalFormatting>
  <conditionalFormatting sqref="A47:C47">
    <cfRule type="expression" dxfId="9" priority="11">
      <formula>$B30&lt;&gt;"Proceed to commentary"</formula>
    </cfRule>
  </conditionalFormatting>
  <conditionalFormatting sqref="A49:C49">
    <cfRule type="expression" dxfId="8" priority="10">
      <formula>$B48&lt;&gt;"Proceed to final confirmation"</formula>
    </cfRule>
  </conditionalFormatting>
  <conditionalFormatting sqref="A50:C52">
    <cfRule type="expression" dxfId="7" priority="16">
      <formula>$B$48&lt;&gt;"Proceed to final confirmation"</formula>
    </cfRule>
  </conditionalFormatting>
  <conditionalFormatting sqref="A53:C53">
    <cfRule type="expression" dxfId="6" priority="9">
      <formula>$B48&lt;&gt;"Proceed to final confirmation"</formula>
    </cfRule>
  </conditionalFormatting>
  <conditionalFormatting sqref="A55:C55">
    <cfRule type="expression" dxfId="5" priority="8">
      <formula>$B54&lt;&gt;"Report complete"</formula>
    </cfRule>
  </conditionalFormatting>
  <conditionalFormatting sqref="A56:C190">
    <cfRule type="expression" dxfId="4" priority="15">
      <formula>$B$54&lt;&gt;"Report complete"</formula>
    </cfRule>
  </conditionalFormatting>
  <conditionalFormatting sqref="A143:C189">
    <cfRule type="expression" dxfId="3" priority="32">
      <formula>$B143=""</formula>
    </cfRule>
  </conditionalFormatting>
  <dataValidations count="1">
    <dataValidation type="list" allowBlank="1" showInputMessage="1" showErrorMessage="1" sqref="C47 C29 C53" xr:uid="{00000000-0002-0000-0100-000000000000}">
      <formula1>INDIRECT(E29)</formula1>
    </dataValidation>
  </dataValidations>
  <pageMargins left="0.7" right="0.7" top="0.75" bottom="0.75" header="0.3" footer="0.3"/>
  <pageSetup paperSize="9" scale="77" fitToHeight="0" orientation="landscape" r:id="rId1"/>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170"/>
  <sheetViews>
    <sheetView topLeftCell="C1" zoomScaleNormal="100" workbookViewId="0">
      <selection activeCell="B129" sqref="B129"/>
    </sheetView>
  </sheetViews>
  <sheetFormatPr defaultRowHeight="15" x14ac:dyDescent="0.25"/>
  <cols>
    <col min="1" max="1" width="9.140625" customWidth="1"/>
    <col min="2" max="2" width="69.85546875" customWidth="1"/>
    <col min="3" max="3" width="29.7109375" customWidth="1"/>
    <col min="4" max="4" width="17.42578125" customWidth="1"/>
    <col min="5" max="5" width="19.42578125" customWidth="1"/>
    <col min="6" max="6" width="14.28515625" customWidth="1"/>
    <col min="7" max="7" width="14" customWidth="1"/>
    <col min="8" max="8" width="14.7109375" customWidth="1"/>
    <col min="9" max="9" width="12.85546875" customWidth="1"/>
    <col min="14" max="14" width="34.85546875" customWidth="1"/>
    <col min="15" max="15" width="32.42578125" customWidth="1"/>
    <col min="18" max="18" width="15.7109375" customWidth="1"/>
  </cols>
  <sheetData>
    <row r="1" spans="2:18" ht="15.75" thickBot="1" x14ac:dyDescent="0.3">
      <c r="B1" s="5" t="s">
        <v>76</v>
      </c>
      <c r="C1" s="5" t="s">
        <v>77</v>
      </c>
      <c r="D1" s="5" t="s">
        <v>467</v>
      </c>
      <c r="E1" s="5" t="s">
        <v>468</v>
      </c>
      <c r="F1" s="5" t="s">
        <v>401</v>
      </c>
      <c r="G1" s="5" t="s">
        <v>403</v>
      </c>
      <c r="H1" s="5" t="s">
        <v>402</v>
      </c>
      <c r="I1" s="5" t="s">
        <v>506</v>
      </c>
      <c r="N1" t="s">
        <v>122</v>
      </c>
      <c r="P1" t="s">
        <v>520</v>
      </c>
      <c r="Q1" t="s">
        <v>519</v>
      </c>
      <c r="R1" t="s">
        <v>521</v>
      </c>
    </row>
    <row r="2" spans="2:18" x14ac:dyDescent="0.25">
      <c r="B2" s="137" t="s">
        <v>571</v>
      </c>
      <c r="C2" s="138" t="s">
        <v>471</v>
      </c>
      <c r="D2" s="138" t="s">
        <v>471</v>
      </c>
      <c r="E2" s="138" t="s">
        <v>471</v>
      </c>
      <c r="F2" s="138">
        <v>0</v>
      </c>
      <c r="G2" s="138">
        <v>0</v>
      </c>
      <c r="H2" s="138">
        <v>0</v>
      </c>
      <c r="I2" s="140">
        <v>0</v>
      </c>
      <c r="J2" t="s">
        <v>571</v>
      </c>
      <c r="K2" t="s">
        <v>78</v>
      </c>
      <c r="L2" t="s">
        <v>469</v>
      </c>
      <c r="N2" s="134" t="s">
        <v>123</v>
      </c>
      <c r="O2" s="140" t="s">
        <v>406</v>
      </c>
      <c r="P2" s="137" t="s">
        <v>469</v>
      </c>
      <c r="Q2" s="134" t="s">
        <v>78</v>
      </c>
      <c r="R2" s="134" t="s">
        <v>522</v>
      </c>
    </row>
    <row r="3" spans="2:18" ht="15.75" thickBot="1" x14ac:dyDescent="0.3">
      <c r="B3" s="1" t="s">
        <v>124</v>
      </c>
      <c r="C3" t="s">
        <v>125</v>
      </c>
      <c r="D3" t="s">
        <v>465</v>
      </c>
      <c r="E3" t="s">
        <v>78</v>
      </c>
      <c r="F3" s="144">
        <v>6104915</v>
      </c>
      <c r="G3" s="144">
        <v>5499334</v>
      </c>
      <c r="H3" s="144">
        <v>605581</v>
      </c>
      <c r="I3" s="145">
        <v>0</v>
      </c>
      <c r="K3" t="s">
        <v>79</v>
      </c>
      <c r="N3" s="135" t="s">
        <v>662</v>
      </c>
      <c r="O3" s="141" t="s">
        <v>407</v>
      </c>
      <c r="P3" s="2"/>
      <c r="Q3" s="135" t="s">
        <v>79</v>
      </c>
      <c r="R3" s="135" t="s">
        <v>523</v>
      </c>
    </row>
    <row r="4" spans="2:18" ht="15.75" thickBot="1" x14ac:dyDescent="0.3">
      <c r="B4" s="1" t="s">
        <v>126</v>
      </c>
      <c r="C4" t="s">
        <v>127</v>
      </c>
      <c r="D4" t="s">
        <v>465</v>
      </c>
      <c r="E4" t="s">
        <v>78</v>
      </c>
      <c r="F4" s="144">
        <v>4377413</v>
      </c>
      <c r="G4" s="144">
        <v>1926877</v>
      </c>
      <c r="H4" s="144">
        <v>2450536</v>
      </c>
      <c r="I4" s="145">
        <v>2543</v>
      </c>
      <c r="N4" s="135" t="s">
        <v>663</v>
      </c>
      <c r="O4" s="141" t="s">
        <v>408</v>
      </c>
      <c r="Q4" s="136"/>
      <c r="R4" s="136"/>
    </row>
    <row r="5" spans="2:18" x14ac:dyDescent="0.25">
      <c r="B5" s="1" t="s">
        <v>128</v>
      </c>
      <c r="C5" t="s">
        <v>129</v>
      </c>
      <c r="D5" t="s">
        <v>466</v>
      </c>
      <c r="E5" t="s">
        <v>79</v>
      </c>
      <c r="F5" s="144">
        <v>9532269</v>
      </c>
      <c r="G5" s="144">
        <v>1683212</v>
      </c>
      <c r="H5" s="144">
        <v>7849057</v>
      </c>
      <c r="I5" s="146">
        <v>0</v>
      </c>
      <c r="N5" s="135" t="s">
        <v>574</v>
      </c>
      <c r="O5" s="141" t="s">
        <v>409</v>
      </c>
    </row>
    <row r="6" spans="2:18" x14ac:dyDescent="0.25">
      <c r="B6" s="1" t="s">
        <v>130</v>
      </c>
      <c r="C6" t="s">
        <v>131</v>
      </c>
      <c r="D6" t="s">
        <v>466</v>
      </c>
      <c r="E6" t="s">
        <v>79</v>
      </c>
      <c r="F6" s="144">
        <v>380736</v>
      </c>
      <c r="G6" s="144">
        <v>108697</v>
      </c>
      <c r="H6" s="144">
        <v>272039</v>
      </c>
      <c r="I6" s="146">
        <v>0</v>
      </c>
      <c r="N6" s="135" t="s">
        <v>575</v>
      </c>
      <c r="O6" s="141" t="s">
        <v>410</v>
      </c>
    </row>
    <row r="7" spans="2:18" x14ac:dyDescent="0.25">
      <c r="B7" s="1" t="s">
        <v>132</v>
      </c>
      <c r="C7" t="s">
        <v>133</v>
      </c>
      <c r="D7" t="s">
        <v>466</v>
      </c>
      <c r="E7" t="s">
        <v>79</v>
      </c>
      <c r="F7" s="144">
        <v>15650</v>
      </c>
      <c r="G7" s="144">
        <v>15205</v>
      </c>
      <c r="H7" s="144">
        <v>445</v>
      </c>
      <c r="I7" s="146">
        <v>0</v>
      </c>
      <c r="N7" s="135" t="s">
        <v>664</v>
      </c>
      <c r="O7" s="141" t="s">
        <v>411</v>
      </c>
    </row>
    <row r="8" spans="2:18" x14ac:dyDescent="0.25">
      <c r="B8" s="1" t="s">
        <v>641</v>
      </c>
      <c r="C8" t="s">
        <v>134</v>
      </c>
      <c r="D8" t="s">
        <v>465</v>
      </c>
      <c r="E8" t="s">
        <v>78</v>
      </c>
      <c r="F8" s="144">
        <v>7817</v>
      </c>
      <c r="G8" s="144">
        <v>0</v>
      </c>
      <c r="H8" s="144">
        <v>7817</v>
      </c>
      <c r="I8" s="146">
        <v>0</v>
      </c>
      <c r="J8" t="s">
        <v>656</v>
      </c>
      <c r="N8" s="135" t="s">
        <v>103</v>
      </c>
      <c r="O8" s="141" t="s">
        <v>412</v>
      </c>
    </row>
    <row r="9" spans="2:18" x14ac:dyDescent="0.25">
      <c r="B9" s="1" t="s">
        <v>88</v>
      </c>
      <c r="C9" t="s">
        <v>72</v>
      </c>
      <c r="D9" t="s">
        <v>465</v>
      </c>
      <c r="E9" t="s">
        <v>78</v>
      </c>
      <c r="F9" s="144">
        <v>83174930</v>
      </c>
      <c r="G9" s="144">
        <v>6825346</v>
      </c>
      <c r="H9" s="144">
        <v>76349584</v>
      </c>
      <c r="I9" s="145">
        <v>52763</v>
      </c>
      <c r="N9" s="135" t="s">
        <v>15</v>
      </c>
      <c r="O9" s="141" t="s">
        <v>413</v>
      </c>
    </row>
    <row r="10" spans="2:18" x14ac:dyDescent="0.25">
      <c r="B10" s="1" t="s">
        <v>136</v>
      </c>
      <c r="C10" t="s">
        <v>137</v>
      </c>
      <c r="D10" t="s">
        <v>465</v>
      </c>
      <c r="E10" t="s">
        <v>78</v>
      </c>
      <c r="F10" s="144">
        <v>830388</v>
      </c>
      <c r="G10" s="144">
        <v>413875</v>
      </c>
      <c r="H10" s="144">
        <v>416513</v>
      </c>
      <c r="I10" s="146">
        <v>0</v>
      </c>
      <c r="N10" s="135" t="s">
        <v>108</v>
      </c>
      <c r="O10" s="141" t="s">
        <v>414</v>
      </c>
    </row>
    <row r="11" spans="2:18" x14ac:dyDescent="0.25">
      <c r="B11" s="1" t="s">
        <v>138</v>
      </c>
      <c r="C11" t="s">
        <v>139</v>
      </c>
      <c r="D11" t="s">
        <v>465</v>
      </c>
      <c r="E11" t="s">
        <v>78</v>
      </c>
      <c r="F11" s="144">
        <v>449072</v>
      </c>
      <c r="G11" s="144">
        <v>0</v>
      </c>
      <c r="H11" s="144">
        <v>449072</v>
      </c>
      <c r="I11" s="145">
        <v>880</v>
      </c>
      <c r="N11" s="135" t="s">
        <v>0</v>
      </c>
      <c r="O11" s="141" t="s">
        <v>415</v>
      </c>
    </row>
    <row r="12" spans="2:18" x14ac:dyDescent="0.25">
      <c r="B12" s="1" t="s">
        <v>140</v>
      </c>
      <c r="C12" t="s">
        <v>141</v>
      </c>
      <c r="D12" t="s">
        <v>466</v>
      </c>
      <c r="E12" t="s">
        <v>79</v>
      </c>
      <c r="F12" s="144">
        <v>144984</v>
      </c>
      <c r="G12" s="144">
        <v>72492</v>
      </c>
      <c r="H12" s="144">
        <v>72492</v>
      </c>
      <c r="I12" s="146">
        <v>0</v>
      </c>
      <c r="N12" s="135" t="s">
        <v>16</v>
      </c>
      <c r="O12" s="141" t="s">
        <v>416</v>
      </c>
    </row>
    <row r="13" spans="2:18" x14ac:dyDescent="0.25">
      <c r="B13" s="1" t="s">
        <v>142</v>
      </c>
      <c r="C13" t="s">
        <v>143</v>
      </c>
      <c r="D13" t="s">
        <v>465</v>
      </c>
      <c r="E13" t="s">
        <v>78</v>
      </c>
      <c r="F13" s="144">
        <v>5248912</v>
      </c>
      <c r="G13" s="144">
        <v>3965748</v>
      </c>
      <c r="H13" s="144">
        <v>1283164</v>
      </c>
      <c r="I13" s="146">
        <v>0</v>
      </c>
      <c r="N13" s="135" t="s">
        <v>665</v>
      </c>
      <c r="O13" s="141" t="s">
        <v>417</v>
      </c>
    </row>
    <row r="14" spans="2:18" x14ac:dyDescent="0.25">
      <c r="B14" s="1" t="s">
        <v>144</v>
      </c>
      <c r="C14" t="s">
        <v>145</v>
      </c>
      <c r="D14" t="s">
        <v>465</v>
      </c>
      <c r="E14" t="s">
        <v>78</v>
      </c>
      <c r="F14" s="144">
        <v>52025998</v>
      </c>
      <c r="G14" s="144">
        <v>21255159</v>
      </c>
      <c r="H14" s="144">
        <v>30770839</v>
      </c>
      <c r="I14" s="145">
        <v>2200</v>
      </c>
      <c r="N14" s="135" t="s">
        <v>17</v>
      </c>
      <c r="O14" s="141" t="s">
        <v>418</v>
      </c>
    </row>
    <row r="15" spans="2:18" x14ac:dyDescent="0.25">
      <c r="B15" s="1" t="s">
        <v>146</v>
      </c>
      <c r="C15" t="s">
        <v>147</v>
      </c>
      <c r="D15" t="s">
        <v>465</v>
      </c>
      <c r="E15" t="s">
        <v>78</v>
      </c>
      <c r="F15" s="144">
        <v>7257778</v>
      </c>
      <c r="G15" s="144">
        <v>5644130</v>
      </c>
      <c r="H15" s="144">
        <v>1613648</v>
      </c>
      <c r="I15" s="145">
        <v>760</v>
      </c>
      <c r="N15" s="135" t="s">
        <v>576</v>
      </c>
      <c r="O15" s="141" t="s">
        <v>419</v>
      </c>
    </row>
    <row r="16" spans="2:18" x14ac:dyDescent="0.25">
      <c r="B16" s="1" t="s">
        <v>148</v>
      </c>
      <c r="C16" t="s">
        <v>149</v>
      </c>
      <c r="D16" t="s">
        <v>466</v>
      </c>
      <c r="E16" t="s">
        <v>79</v>
      </c>
      <c r="F16" s="144">
        <v>308731</v>
      </c>
      <c r="G16" s="144">
        <v>120586</v>
      </c>
      <c r="H16" s="144">
        <v>188145</v>
      </c>
      <c r="I16" s="146">
        <v>0</v>
      </c>
      <c r="N16" s="135" t="s">
        <v>121</v>
      </c>
      <c r="O16" s="141" t="s">
        <v>420</v>
      </c>
    </row>
    <row r="17" spans="2:15" x14ac:dyDescent="0.25">
      <c r="B17" s="1" t="s">
        <v>150</v>
      </c>
      <c r="C17" t="s">
        <v>151</v>
      </c>
      <c r="D17" t="s">
        <v>466</v>
      </c>
      <c r="E17" t="s">
        <v>78</v>
      </c>
      <c r="F17" s="144">
        <v>1608694</v>
      </c>
      <c r="G17" s="144">
        <v>1049113</v>
      </c>
      <c r="H17" s="144">
        <v>559581</v>
      </c>
      <c r="I17" s="145">
        <v>3339</v>
      </c>
      <c r="N17" s="135" t="s">
        <v>18</v>
      </c>
      <c r="O17" s="141" t="s">
        <v>421</v>
      </c>
    </row>
    <row r="18" spans="2:15" x14ac:dyDescent="0.25">
      <c r="B18" s="1" t="s">
        <v>152</v>
      </c>
      <c r="C18" t="s">
        <v>153</v>
      </c>
      <c r="D18" t="s">
        <v>465</v>
      </c>
      <c r="E18" t="s">
        <v>78</v>
      </c>
      <c r="F18" s="144">
        <v>5594007</v>
      </c>
      <c r="G18" s="144">
        <v>3417861</v>
      </c>
      <c r="H18" s="144">
        <v>2176146</v>
      </c>
      <c r="I18" s="145">
        <v>7446</v>
      </c>
      <c r="N18" s="135" t="s">
        <v>577</v>
      </c>
      <c r="O18" s="141" t="s">
        <v>422</v>
      </c>
    </row>
    <row r="19" spans="2:15" x14ac:dyDescent="0.25">
      <c r="B19" s="1" t="s">
        <v>154</v>
      </c>
      <c r="C19" t="s">
        <v>155</v>
      </c>
      <c r="D19" t="s">
        <v>465</v>
      </c>
      <c r="E19" t="s">
        <v>78</v>
      </c>
      <c r="F19" s="144">
        <v>44408734</v>
      </c>
      <c r="G19" s="144">
        <v>31242901</v>
      </c>
      <c r="H19" s="144">
        <v>13165833</v>
      </c>
      <c r="I19" s="145">
        <v>11971</v>
      </c>
      <c r="N19" s="135" t="s">
        <v>19</v>
      </c>
      <c r="O19" s="141" t="s">
        <v>423</v>
      </c>
    </row>
    <row r="20" spans="2:15" x14ac:dyDescent="0.25">
      <c r="B20" s="1" t="s">
        <v>156</v>
      </c>
      <c r="C20" t="s">
        <v>157</v>
      </c>
      <c r="D20" t="s">
        <v>466</v>
      </c>
      <c r="E20" t="s">
        <v>79</v>
      </c>
      <c r="F20" s="144">
        <v>68634</v>
      </c>
      <c r="G20" s="144">
        <v>0</v>
      </c>
      <c r="H20" s="144">
        <v>68634</v>
      </c>
      <c r="I20" s="146">
        <v>0</v>
      </c>
      <c r="N20" s="135" t="s">
        <v>600</v>
      </c>
      <c r="O20" s="141" t="s">
        <v>424</v>
      </c>
    </row>
    <row r="21" spans="2:15" x14ac:dyDescent="0.25">
      <c r="B21" s="1" t="s">
        <v>158</v>
      </c>
      <c r="C21" t="s">
        <v>159</v>
      </c>
      <c r="D21" t="s">
        <v>465</v>
      </c>
      <c r="E21" t="s">
        <v>78</v>
      </c>
      <c r="F21" s="144">
        <v>3195434</v>
      </c>
      <c r="G21" s="144">
        <v>1651062</v>
      </c>
      <c r="H21" s="144">
        <v>1544372</v>
      </c>
      <c r="I21" s="145">
        <v>4161</v>
      </c>
      <c r="N21" s="135" t="s">
        <v>119</v>
      </c>
      <c r="O21" s="141" t="s">
        <v>425</v>
      </c>
    </row>
    <row r="22" spans="2:15" x14ac:dyDescent="0.25">
      <c r="B22" s="1" t="s">
        <v>160</v>
      </c>
      <c r="C22" t="s">
        <v>161</v>
      </c>
      <c r="D22" t="s">
        <v>465</v>
      </c>
      <c r="E22" t="s">
        <v>78</v>
      </c>
      <c r="F22" s="144">
        <v>564562</v>
      </c>
      <c r="G22" s="144">
        <v>485853</v>
      </c>
      <c r="H22" s="144">
        <v>78709</v>
      </c>
      <c r="I22" s="146">
        <v>0</v>
      </c>
      <c r="N22" s="135" t="s">
        <v>666</v>
      </c>
      <c r="O22" s="141" t="s">
        <v>426</v>
      </c>
    </row>
    <row r="23" spans="2:15" x14ac:dyDescent="0.25">
      <c r="B23" s="1" t="s">
        <v>162</v>
      </c>
      <c r="C23" t="s">
        <v>163</v>
      </c>
      <c r="D23" t="s">
        <v>466</v>
      </c>
      <c r="E23" t="s">
        <v>78</v>
      </c>
      <c r="F23" s="144">
        <v>941094</v>
      </c>
      <c r="G23" s="144">
        <v>644392</v>
      </c>
      <c r="H23" s="144">
        <v>296702</v>
      </c>
      <c r="I23" s="145">
        <v>856</v>
      </c>
      <c r="N23" s="135" t="s">
        <v>115</v>
      </c>
      <c r="O23" s="141" t="s">
        <v>427</v>
      </c>
    </row>
    <row r="24" spans="2:15" x14ac:dyDescent="0.25">
      <c r="B24" s="1" t="s">
        <v>164</v>
      </c>
      <c r="C24" t="s">
        <v>165</v>
      </c>
      <c r="D24" t="s">
        <v>465</v>
      </c>
      <c r="E24" t="s">
        <v>79</v>
      </c>
      <c r="F24" s="144">
        <v>1670306</v>
      </c>
      <c r="G24" s="144">
        <v>1656488</v>
      </c>
      <c r="H24" s="144">
        <v>13818</v>
      </c>
      <c r="I24" s="146">
        <v>0</v>
      </c>
      <c r="N24" s="135" t="s">
        <v>20</v>
      </c>
      <c r="O24" s="141" t="s">
        <v>428</v>
      </c>
    </row>
    <row r="25" spans="2:15" x14ac:dyDescent="0.25">
      <c r="B25" s="1" t="s">
        <v>166</v>
      </c>
      <c r="C25" t="s">
        <v>167</v>
      </c>
      <c r="D25" t="s">
        <v>466</v>
      </c>
      <c r="E25" t="s">
        <v>79</v>
      </c>
      <c r="F25" s="144">
        <v>122498</v>
      </c>
      <c r="G25" s="144">
        <v>0</v>
      </c>
      <c r="H25" s="144">
        <v>122498</v>
      </c>
      <c r="I25" s="146">
        <v>0</v>
      </c>
      <c r="N25" s="135" t="s">
        <v>667</v>
      </c>
      <c r="O25" s="141" t="s">
        <v>429</v>
      </c>
    </row>
    <row r="26" spans="2:15" x14ac:dyDescent="0.25">
      <c r="B26" s="1" t="s">
        <v>168</v>
      </c>
      <c r="C26" t="s">
        <v>73</v>
      </c>
      <c r="D26" t="s">
        <v>465</v>
      </c>
      <c r="E26" t="s">
        <v>78</v>
      </c>
      <c r="F26" s="144">
        <v>8999</v>
      </c>
      <c r="G26" s="144">
        <v>0</v>
      </c>
      <c r="H26" s="144">
        <v>8999</v>
      </c>
      <c r="I26" s="146">
        <v>0</v>
      </c>
      <c r="N26" s="135" t="s">
        <v>578</v>
      </c>
      <c r="O26" s="141" t="s">
        <v>430</v>
      </c>
    </row>
    <row r="27" spans="2:15" x14ac:dyDescent="0.25">
      <c r="B27" s="1" t="s">
        <v>169</v>
      </c>
      <c r="C27" t="s">
        <v>170</v>
      </c>
      <c r="D27" t="s">
        <v>465</v>
      </c>
      <c r="E27" t="s">
        <v>78</v>
      </c>
      <c r="F27" s="144">
        <v>118511</v>
      </c>
      <c r="G27" s="144">
        <v>0</v>
      </c>
      <c r="H27" s="144">
        <v>118511</v>
      </c>
      <c r="I27" s="146">
        <v>0</v>
      </c>
      <c r="N27" s="135" t="s">
        <v>668</v>
      </c>
      <c r="O27" s="141" t="s">
        <v>431</v>
      </c>
    </row>
    <row r="28" spans="2:15" x14ac:dyDescent="0.25">
      <c r="B28" s="1" t="s">
        <v>171</v>
      </c>
      <c r="C28" t="s">
        <v>172</v>
      </c>
      <c r="D28" t="s">
        <v>466</v>
      </c>
      <c r="E28" t="s">
        <v>78</v>
      </c>
      <c r="F28" s="144">
        <v>403141</v>
      </c>
      <c r="G28" s="144">
        <v>209677</v>
      </c>
      <c r="H28" s="144">
        <v>193464</v>
      </c>
      <c r="I28" s="146">
        <v>0</v>
      </c>
      <c r="N28" s="135" t="s">
        <v>21</v>
      </c>
      <c r="O28" s="141" t="s">
        <v>432</v>
      </c>
    </row>
    <row r="29" spans="2:15" x14ac:dyDescent="0.25">
      <c r="B29" s="1" t="s">
        <v>173</v>
      </c>
      <c r="C29" t="s">
        <v>174</v>
      </c>
      <c r="D29" t="s">
        <v>466</v>
      </c>
      <c r="E29" t="s">
        <v>79</v>
      </c>
      <c r="F29" s="144">
        <v>1101110</v>
      </c>
      <c r="G29" s="144">
        <v>1011201</v>
      </c>
      <c r="H29" s="144">
        <v>89909</v>
      </c>
      <c r="I29" s="146">
        <v>0</v>
      </c>
      <c r="N29" s="135" t="s">
        <v>107</v>
      </c>
      <c r="O29" s="141" t="s">
        <v>433</v>
      </c>
    </row>
    <row r="30" spans="2:15" x14ac:dyDescent="0.25">
      <c r="B30" s="1" t="s">
        <v>175</v>
      </c>
      <c r="C30" t="s">
        <v>176</v>
      </c>
      <c r="D30" t="s">
        <v>465</v>
      </c>
      <c r="E30" t="s">
        <v>78</v>
      </c>
      <c r="F30" s="144">
        <v>0</v>
      </c>
      <c r="G30" s="144">
        <v>0</v>
      </c>
      <c r="H30" s="144">
        <v>0</v>
      </c>
      <c r="I30" s="146">
        <v>0</v>
      </c>
      <c r="N30" s="135" t="s">
        <v>106</v>
      </c>
      <c r="O30" s="141" t="s">
        <v>434</v>
      </c>
    </row>
    <row r="31" spans="2:15" x14ac:dyDescent="0.25">
      <c r="B31" s="1" t="s">
        <v>177</v>
      </c>
      <c r="C31" t="s">
        <v>178</v>
      </c>
      <c r="D31" t="s">
        <v>466</v>
      </c>
      <c r="E31" t="s">
        <v>78</v>
      </c>
      <c r="F31" s="144">
        <v>1800874</v>
      </c>
      <c r="G31" s="144">
        <v>1748010</v>
      </c>
      <c r="H31" s="144">
        <v>52864</v>
      </c>
      <c r="I31" s="146">
        <v>0</v>
      </c>
      <c r="N31" s="135" t="s">
        <v>2</v>
      </c>
      <c r="O31" s="141" t="s">
        <v>435</v>
      </c>
    </row>
    <row r="32" spans="2:15" x14ac:dyDescent="0.25">
      <c r="B32" s="1" t="s">
        <v>179</v>
      </c>
      <c r="C32" t="s">
        <v>180</v>
      </c>
      <c r="D32" t="s">
        <v>466</v>
      </c>
      <c r="E32" t="s">
        <v>79</v>
      </c>
      <c r="F32" s="144">
        <v>0</v>
      </c>
      <c r="G32" s="144">
        <v>0</v>
      </c>
      <c r="H32" s="144">
        <v>0</v>
      </c>
      <c r="I32" s="146">
        <v>0</v>
      </c>
      <c r="N32" s="135" t="s">
        <v>579</v>
      </c>
      <c r="O32" s="141" t="s">
        <v>436</v>
      </c>
    </row>
    <row r="33" spans="2:15" x14ac:dyDescent="0.25">
      <c r="B33" s="1" t="s">
        <v>181</v>
      </c>
      <c r="C33" t="s">
        <v>182</v>
      </c>
      <c r="D33" t="s">
        <v>465</v>
      </c>
      <c r="E33" t="s">
        <v>78</v>
      </c>
      <c r="F33" s="144">
        <v>481790</v>
      </c>
      <c r="G33" s="144">
        <v>246814</v>
      </c>
      <c r="H33" s="144">
        <v>234976</v>
      </c>
      <c r="I33" s="146">
        <v>0</v>
      </c>
      <c r="N33" s="135" t="s">
        <v>22</v>
      </c>
      <c r="O33" s="141" t="s">
        <v>437</v>
      </c>
    </row>
    <row r="34" spans="2:15" x14ac:dyDescent="0.25">
      <c r="B34" s="1" t="s">
        <v>183</v>
      </c>
      <c r="C34" t="s">
        <v>184</v>
      </c>
      <c r="D34" t="s">
        <v>466</v>
      </c>
      <c r="E34" t="s">
        <v>79</v>
      </c>
      <c r="F34" s="144">
        <v>96570</v>
      </c>
      <c r="G34" s="144">
        <v>0</v>
      </c>
      <c r="H34" s="144">
        <v>96570</v>
      </c>
      <c r="I34" s="146">
        <v>0</v>
      </c>
      <c r="N34" s="135" t="s">
        <v>118</v>
      </c>
      <c r="O34" s="141" t="s">
        <v>438</v>
      </c>
    </row>
    <row r="35" spans="2:15" x14ac:dyDescent="0.25">
      <c r="B35" s="1" t="s">
        <v>185</v>
      </c>
      <c r="C35" t="s">
        <v>186</v>
      </c>
      <c r="D35" t="s">
        <v>466</v>
      </c>
      <c r="E35" t="s">
        <v>79</v>
      </c>
      <c r="F35" s="144">
        <v>3400280</v>
      </c>
      <c r="G35" s="144">
        <v>1453926</v>
      </c>
      <c r="H35" s="144">
        <v>1946354</v>
      </c>
      <c r="I35" s="146">
        <v>0</v>
      </c>
      <c r="N35" s="135" t="s">
        <v>669</v>
      </c>
      <c r="O35" s="141" t="s">
        <v>439</v>
      </c>
    </row>
    <row r="36" spans="2:15" x14ac:dyDescent="0.25">
      <c r="B36" s="1" t="s">
        <v>187</v>
      </c>
      <c r="C36" t="s">
        <v>188</v>
      </c>
      <c r="D36" t="s">
        <v>465</v>
      </c>
      <c r="E36" t="s">
        <v>78</v>
      </c>
      <c r="F36" s="144">
        <v>221144</v>
      </c>
      <c r="G36" s="144">
        <v>0</v>
      </c>
      <c r="H36" s="144">
        <v>221144</v>
      </c>
      <c r="I36" s="146">
        <v>0</v>
      </c>
      <c r="N36" s="135" t="s">
        <v>670</v>
      </c>
      <c r="O36" s="141" t="s">
        <v>440</v>
      </c>
    </row>
    <row r="37" spans="2:15" x14ac:dyDescent="0.25">
      <c r="B37" s="1" t="s">
        <v>189</v>
      </c>
      <c r="C37" t="s">
        <v>190</v>
      </c>
      <c r="D37" t="s">
        <v>465</v>
      </c>
      <c r="E37" t="s">
        <v>78</v>
      </c>
      <c r="F37" s="144">
        <v>1482315</v>
      </c>
      <c r="G37" s="144">
        <v>821039</v>
      </c>
      <c r="H37" s="144">
        <v>661276</v>
      </c>
      <c r="I37" s="145">
        <v>3417</v>
      </c>
      <c r="N37" s="135" t="s">
        <v>3</v>
      </c>
      <c r="O37" s="141" t="s">
        <v>441</v>
      </c>
    </row>
    <row r="38" spans="2:15" x14ac:dyDescent="0.25">
      <c r="B38" s="1" t="s">
        <v>191</v>
      </c>
      <c r="C38" t="s">
        <v>192</v>
      </c>
      <c r="D38" t="s">
        <v>465</v>
      </c>
      <c r="E38" t="s">
        <v>78</v>
      </c>
      <c r="F38" s="144">
        <v>13093696</v>
      </c>
      <c r="G38" s="144">
        <v>11480179</v>
      </c>
      <c r="H38" s="144">
        <v>1613517</v>
      </c>
      <c r="I38" s="145">
        <v>2783</v>
      </c>
      <c r="N38" s="135" t="s">
        <v>671</v>
      </c>
      <c r="O38" s="141" t="s">
        <v>442</v>
      </c>
    </row>
    <row r="39" spans="2:15" x14ac:dyDescent="0.25">
      <c r="B39" s="1" t="s">
        <v>193</v>
      </c>
      <c r="C39" t="s">
        <v>194</v>
      </c>
      <c r="D39" t="s">
        <v>465</v>
      </c>
      <c r="E39" t="s">
        <v>78</v>
      </c>
      <c r="F39" s="144">
        <v>867260</v>
      </c>
      <c r="G39" s="144">
        <v>520746</v>
      </c>
      <c r="H39" s="144">
        <v>346514</v>
      </c>
      <c r="I39" s="145">
        <v>662</v>
      </c>
      <c r="N39" s="135" t="s">
        <v>601</v>
      </c>
      <c r="O39" s="141" t="s">
        <v>443</v>
      </c>
    </row>
    <row r="40" spans="2:15" x14ac:dyDescent="0.25">
      <c r="B40" s="1" t="s">
        <v>195</v>
      </c>
      <c r="C40" t="s">
        <v>196</v>
      </c>
      <c r="D40" t="s">
        <v>465</v>
      </c>
      <c r="E40" t="s">
        <v>78</v>
      </c>
      <c r="F40" s="144">
        <v>509792</v>
      </c>
      <c r="G40" s="144">
        <v>509792</v>
      </c>
      <c r="H40" s="144">
        <v>0</v>
      </c>
      <c r="I40" s="146">
        <v>0</v>
      </c>
      <c r="N40" s="135" t="s">
        <v>67</v>
      </c>
      <c r="O40" s="141" t="s">
        <v>444</v>
      </c>
    </row>
    <row r="41" spans="2:15" x14ac:dyDescent="0.25">
      <c r="B41" s="1" t="s">
        <v>197</v>
      </c>
      <c r="C41" t="s">
        <v>198</v>
      </c>
      <c r="D41" t="s">
        <v>466</v>
      </c>
      <c r="E41" t="s">
        <v>78</v>
      </c>
      <c r="F41" s="144">
        <v>372493</v>
      </c>
      <c r="G41" s="144">
        <v>0</v>
      </c>
      <c r="H41" s="144">
        <v>372493</v>
      </c>
      <c r="I41" s="145">
        <v>623</v>
      </c>
      <c r="N41" s="135" t="s">
        <v>672</v>
      </c>
      <c r="O41" s="141" t="s">
        <v>445</v>
      </c>
    </row>
    <row r="42" spans="2:15" x14ac:dyDescent="0.25">
      <c r="B42" s="1" t="s">
        <v>199</v>
      </c>
      <c r="C42" t="s">
        <v>200</v>
      </c>
      <c r="D42" t="s">
        <v>466</v>
      </c>
      <c r="E42" t="s">
        <v>79</v>
      </c>
      <c r="F42" s="144">
        <v>1885504</v>
      </c>
      <c r="G42" s="144">
        <v>0</v>
      </c>
      <c r="H42" s="144">
        <v>1885504</v>
      </c>
      <c r="I42" s="146">
        <v>0</v>
      </c>
      <c r="N42" s="135" t="s">
        <v>117</v>
      </c>
      <c r="O42" s="141" t="s">
        <v>446</v>
      </c>
    </row>
    <row r="43" spans="2:15" x14ac:dyDescent="0.25">
      <c r="B43" s="1" t="s">
        <v>201</v>
      </c>
      <c r="C43" t="s">
        <v>202</v>
      </c>
      <c r="D43" t="s">
        <v>465</v>
      </c>
      <c r="E43" t="s">
        <v>78</v>
      </c>
      <c r="F43" s="144">
        <v>369309</v>
      </c>
      <c r="G43" s="144">
        <v>235122</v>
      </c>
      <c r="H43" s="144">
        <v>134187</v>
      </c>
      <c r="I43" s="146">
        <v>0</v>
      </c>
      <c r="N43" s="135" t="s">
        <v>602</v>
      </c>
      <c r="O43" s="141" t="s">
        <v>447</v>
      </c>
    </row>
    <row r="44" spans="2:15" x14ac:dyDescent="0.25">
      <c r="B44" s="1" t="s">
        <v>203</v>
      </c>
      <c r="C44" t="s">
        <v>204</v>
      </c>
      <c r="D44" t="s">
        <v>465</v>
      </c>
      <c r="E44" t="s">
        <v>78</v>
      </c>
      <c r="F44" s="144">
        <v>86781583</v>
      </c>
      <c r="G44" s="144">
        <v>47330753</v>
      </c>
      <c r="H44" s="144">
        <v>39450830</v>
      </c>
      <c r="I44" s="145">
        <v>44103</v>
      </c>
      <c r="N44" s="135" t="s">
        <v>603</v>
      </c>
      <c r="O44" s="141" t="s">
        <v>448</v>
      </c>
    </row>
    <row r="45" spans="2:15" x14ac:dyDescent="0.25">
      <c r="B45" s="1" t="s">
        <v>205</v>
      </c>
      <c r="C45" t="s">
        <v>206</v>
      </c>
      <c r="D45" t="s">
        <v>465</v>
      </c>
      <c r="E45" t="s">
        <v>78</v>
      </c>
      <c r="F45" s="144">
        <v>882899</v>
      </c>
      <c r="G45" s="144">
        <v>656850</v>
      </c>
      <c r="H45" s="144">
        <v>226049</v>
      </c>
      <c r="I45" s="146">
        <v>0</v>
      </c>
      <c r="N45" s="135" t="s">
        <v>23</v>
      </c>
      <c r="O45" s="141" t="s">
        <v>449</v>
      </c>
    </row>
    <row r="46" spans="2:15" x14ac:dyDescent="0.25">
      <c r="B46" s="1" t="s">
        <v>207</v>
      </c>
      <c r="C46" t="s">
        <v>208</v>
      </c>
      <c r="D46" t="s">
        <v>466</v>
      </c>
      <c r="E46" t="s">
        <v>79</v>
      </c>
      <c r="F46" s="144">
        <v>2793077</v>
      </c>
      <c r="G46" s="144">
        <v>389925</v>
      </c>
      <c r="H46" s="144">
        <v>2403152</v>
      </c>
      <c r="I46" s="146">
        <v>0</v>
      </c>
      <c r="N46" s="135" t="s">
        <v>580</v>
      </c>
      <c r="O46" s="141" t="s">
        <v>450</v>
      </c>
    </row>
    <row r="47" spans="2:15" x14ac:dyDescent="0.25">
      <c r="B47" s="1" t="s">
        <v>642</v>
      </c>
      <c r="C47" t="s">
        <v>643</v>
      </c>
      <c r="D47" t="s">
        <v>465</v>
      </c>
      <c r="E47" t="s">
        <v>78</v>
      </c>
      <c r="F47" s="144">
        <v>0</v>
      </c>
      <c r="G47" s="144">
        <v>0</v>
      </c>
      <c r="H47" s="144">
        <v>0</v>
      </c>
      <c r="I47" s="146">
        <v>0</v>
      </c>
      <c r="J47" t="s">
        <v>657</v>
      </c>
      <c r="N47" s="135" t="s">
        <v>581</v>
      </c>
      <c r="O47" s="141" t="s">
        <v>451</v>
      </c>
    </row>
    <row r="48" spans="2:15" x14ac:dyDescent="0.25">
      <c r="B48" s="1" t="s">
        <v>209</v>
      </c>
      <c r="C48" t="s">
        <v>613</v>
      </c>
      <c r="D48" t="s">
        <v>465</v>
      </c>
      <c r="E48" t="s">
        <v>78</v>
      </c>
      <c r="F48" s="144">
        <v>105036094</v>
      </c>
      <c r="G48" s="144">
        <v>42780138</v>
      </c>
      <c r="H48" s="144">
        <v>62255956</v>
      </c>
      <c r="I48" s="145">
        <v>25538</v>
      </c>
      <c r="N48" s="135" t="s">
        <v>673</v>
      </c>
      <c r="O48" s="141" t="s">
        <v>452</v>
      </c>
    </row>
    <row r="49" spans="2:15" x14ac:dyDescent="0.25">
      <c r="B49" s="1" t="s">
        <v>210</v>
      </c>
      <c r="C49" t="s">
        <v>211</v>
      </c>
      <c r="D49" t="s">
        <v>465</v>
      </c>
      <c r="E49" t="s">
        <v>78</v>
      </c>
      <c r="F49" s="144">
        <v>1219997</v>
      </c>
      <c r="G49" s="144">
        <v>655582</v>
      </c>
      <c r="H49" s="144">
        <v>564415</v>
      </c>
      <c r="I49" s="145">
        <v>2277</v>
      </c>
      <c r="N49" s="135" t="s">
        <v>24</v>
      </c>
      <c r="O49" s="141" t="s">
        <v>453</v>
      </c>
    </row>
    <row r="50" spans="2:15" x14ac:dyDescent="0.25">
      <c r="B50" s="1" t="s">
        <v>212</v>
      </c>
      <c r="C50" t="s">
        <v>213</v>
      </c>
      <c r="D50" t="s">
        <v>465</v>
      </c>
      <c r="E50" t="s">
        <v>78</v>
      </c>
      <c r="F50" s="144">
        <v>6943587</v>
      </c>
      <c r="G50" s="144">
        <v>1668544</v>
      </c>
      <c r="H50" s="144">
        <v>5275043</v>
      </c>
      <c r="I50" s="146">
        <v>0</v>
      </c>
      <c r="N50" s="135" t="s">
        <v>624</v>
      </c>
      <c r="O50" s="141" t="s">
        <v>454</v>
      </c>
    </row>
    <row r="51" spans="2:15" x14ac:dyDescent="0.25">
      <c r="B51" s="1" t="s">
        <v>214</v>
      </c>
      <c r="C51" t="s">
        <v>215</v>
      </c>
      <c r="D51" t="s">
        <v>465</v>
      </c>
      <c r="E51" t="s">
        <v>78</v>
      </c>
      <c r="F51" s="144">
        <v>435893</v>
      </c>
      <c r="G51" s="144">
        <v>340637</v>
      </c>
      <c r="H51" s="144">
        <v>95256</v>
      </c>
      <c r="I51" s="146">
        <v>0</v>
      </c>
      <c r="N51" s="135" t="s">
        <v>674</v>
      </c>
      <c r="O51" s="141" t="s">
        <v>455</v>
      </c>
    </row>
    <row r="52" spans="2:15" x14ac:dyDescent="0.25">
      <c r="B52" s="1" t="s">
        <v>216</v>
      </c>
      <c r="C52" t="s">
        <v>217</v>
      </c>
      <c r="D52" t="s">
        <v>466</v>
      </c>
      <c r="E52" t="s">
        <v>78</v>
      </c>
      <c r="F52" s="144">
        <v>128667</v>
      </c>
      <c r="G52" s="144">
        <v>0</v>
      </c>
      <c r="H52" s="144">
        <v>128667</v>
      </c>
      <c r="I52" s="146">
        <v>0</v>
      </c>
      <c r="N52" s="135" t="s">
        <v>604</v>
      </c>
      <c r="O52" s="141" t="s">
        <v>456</v>
      </c>
    </row>
    <row r="53" spans="2:15" x14ac:dyDescent="0.25">
      <c r="B53" s="1" t="s">
        <v>218</v>
      </c>
      <c r="C53" t="s">
        <v>219</v>
      </c>
      <c r="D53" t="s">
        <v>465</v>
      </c>
      <c r="E53" t="s">
        <v>78</v>
      </c>
      <c r="F53" s="144">
        <v>2313705</v>
      </c>
      <c r="G53" s="144">
        <v>1073780</v>
      </c>
      <c r="H53" s="144">
        <v>1239925</v>
      </c>
      <c r="I53" s="145">
        <v>2365</v>
      </c>
      <c r="N53" s="135" t="s">
        <v>582</v>
      </c>
      <c r="O53" s="141" t="s">
        <v>457</v>
      </c>
    </row>
    <row r="54" spans="2:15" x14ac:dyDescent="0.25">
      <c r="B54" s="1" t="s">
        <v>220</v>
      </c>
      <c r="C54" t="s">
        <v>614</v>
      </c>
      <c r="D54" t="s">
        <v>465</v>
      </c>
      <c r="E54" t="s">
        <v>78</v>
      </c>
      <c r="F54" s="144">
        <v>53189</v>
      </c>
      <c r="G54" s="144">
        <v>0</v>
      </c>
      <c r="H54" s="144">
        <v>53189</v>
      </c>
      <c r="I54" s="146">
        <v>0</v>
      </c>
      <c r="N54" s="135" t="s">
        <v>4</v>
      </c>
      <c r="O54" s="141" t="s">
        <v>458</v>
      </c>
    </row>
    <row r="55" spans="2:15" x14ac:dyDescent="0.25">
      <c r="B55" s="1" t="s">
        <v>221</v>
      </c>
      <c r="C55" t="s">
        <v>615</v>
      </c>
      <c r="D55" t="s">
        <v>466</v>
      </c>
      <c r="E55" t="s">
        <v>79</v>
      </c>
      <c r="F55" s="144">
        <v>2363768</v>
      </c>
      <c r="G55" s="144">
        <v>2136110</v>
      </c>
      <c r="H55" s="144">
        <v>227658</v>
      </c>
      <c r="I55" s="146">
        <v>0</v>
      </c>
      <c r="N55" s="135" t="s">
        <v>675</v>
      </c>
      <c r="O55" s="141" t="s">
        <v>459</v>
      </c>
    </row>
    <row r="56" spans="2:15" x14ac:dyDescent="0.25">
      <c r="B56" s="1" t="s">
        <v>222</v>
      </c>
      <c r="C56" t="s">
        <v>223</v>
      </c>
      <c r="D56" t="s">
        <v>466</v>
      </c>
      <c r="E56" t="s">
        <v>79</v>
      </c>
      <c r="F56" s="144">
        <v>5077252</v>
      </c>
      <c r="G56" s="144">
        <v>4841149</v>
      </c>
      <c r="H56" s="144">
        <v>236103</v>
      </c>
      <c r="I56" s="146">
        <v>0</v>
      </c>
      <c r="N56" s="135" t="s">
        <v>676</v>
      </c>
      <c r="O56" s="141" t="s">
        <v>460</v>
      </c>
    </row>
    <row r="57" spans="2:15" x14ac:dyDescent="0.25">
      <c r="B57" s="1" t="s">
        <v>224</v>
      </c>
      <c r="C57" t="s">
        <v>225</v>
      </c>
      <c r="D57" t="s">
        <v>466</v>
      </c>
      <c r="E57" t="s">
        <v>79</v>
      </c>
      <c r="F57" s="144">
        <v>5128244</v>
      </c>
      <c r="G57" s="144">
        <v>3705426</v>
      </c>
      <c r="H57" s="144">
        <v>1422818</v>
      </c>
      <c r="I57" s="146">
        <v>0</v>
      </c>
      <c r="N57" s="135" t="s">
        <v>677</v>
      </c>
      <c r="O57" s="141" t="s">
        <v>461</v>
      </c>
    </row>
    <row r="58" spans="2:15" x14ac:dyDescent="0.25">
      <c r="B58" s="1" t="s">
        <v>226</v>
      </c>
      <c r="C58" t="s">
        <v>616</v>
      </c>
      <c r="D58" t="s">
        <v>465</v>
      </c>
      <c r="E58" t="s">
        <v>78</v>
      </c>
      <c r="F58" s="144">
        <v>1672951</v>
      </c>
      <c r="G58" s="144">
        <v>1026396</v>
      </c>
      <c r="H58" s="144">
        <v>646555</v>
      </c>
      <c r="I58" s="145">
        <v>1524</v>
      </c>
      <c r="N58" s="135" t="s">
        <v>583</v>
      </c>
      <c r="O58" s="141" t="s">
        <v>462</v>
      </c>
    </row>
    <row r="59" spans="2:15" x14ac:dyDescent="0.25">
      <c r="B59" s="1" t="s">
        <v>227</v>
      </c>
      <c r="C59" t="s">
        <v>228</v>
      </c>
      <c r="D59" t="s">
        <v>465</v>
      </c>
      <c r="E59" t="s">
        <v>78</v>
      </c>
      <c r="F59" s="144">
        <v>195140</v>
      </c>
      <c r="G59" s="144">
        <v>163030</v>
      </c>
      <c r="H59" s="144">
        <v>32110</v>
      </c>
      <c r="I59" s="146">
        <v>0</v>
      </c>
      <c r="N59" s="135" t="s">
        <v>584</v>
      </c>
      <c r="O59" s="141" t="s">
        <v>463</v>
      </c>
    </row>
    <row r="60" spans="2:15" ht="15.75" thickBot="1" x14ac:dyDescent="0.3">
      <c r="B60" s="1" t="s">
        <v>229</v>
      </c>
      <c r="C60" t="s">
        <v>230</v>
      </c>
      <c r="D60" t="s">
        <v>466</v>
      </c>
      <c r="E60" t="s">
        <v>79</v>
      </c>
      <c r="F60" s="144">
        <v>2563707</v>
      </c>
      <c r="G60" s="144">
        <v>1927305</v>
      </c>
      <c r="H60" s="144">
        <v>636402</v>
      </c>
      <c r="I60" s="146">
        <v>0</v>
      </c>
      <c r="N60" s="135" t="s">
        <v>678</v>
      </c>
      <c r="O60" s="142" t="s">
        <v>464</v>
      </c>
    </row>
    <row r="61" spans="2:15" x14ac:dyDescent="0.25">
      <c r="B61" s="1" t="s">
        <v>231</v>
      </c>
      <c r="C61" t="s">
        <v>232</v>
      </c>
      <c r="D61" t="s">
        <v>466</v>
      </c>
      <c r="E61" t="s">
        <v>78</v>
      </c>
      <c r="F61" s="144">
        <v>21090923</v>
      </c>
      <c r="G61" s="144">
        <v>8914520</v>
      </c>
      <c r="H61" s="144">
        <v>12176403</v>
      </c>
      <c r="I61" s="146">
        <v>21609</v>
      </c>
      <c r="J61" s="143"/>
      <c r="N61" s="135" t="s">
        <v>25</v>
      </c>
    </row>
    <row r="62" spans="2:15" x14ac:dyDescent="0.25">
      <c r="B62" s="1" t="s">
        <v>233</v>
      </c>
      <c r="C62" t="s">
        <v>234</v>
      </c>
      <c r="D62" t="s">
        <v>465</v>
      </c>
      <c r="E62" t="s">
        <v>78</v>
      </c>
      <c r="F62" s="144">
        <v>3223</v>
      </c>
      <c r="G62" s="144">
        <v>0</v>
      </c>
      <c r="H62" s="144">
        <v>3223</v>
      </c>
      <c r="I62" s="146">
        <v>0</v>
      </c>
      <c r="N62" s="135" t="s">
        <v>26</v>
      </c>
    </row>
    <row r="63" spans="2:15" x14ac:dyDescent="0.25">
      <c r="B63" s="1" t="s">
        <v>235</v>
      </c>
      <c r="C63" t="s">
        <v>236</v>
      </c>
      <c r="D63" t="s">
        <v>466</v>
      </c>
      <c r="E63" t="s">
        <v>79</v>
      </c>
      <c r="F63" s="144">
        <v>10130254</v>
      </c>
      <c r="G63" s="144">
        <v>7591558</v>
      </c>
      <c r="H63" s="144">
        <v>2538696</v>
      </c>
      <c r="I63" s="146">
        <v>0</v>
      </c>
      <c r="N63" s="135" t="s">
        <v>585</v>
      </c>
    </row>
    <row r="64" spans="2:15" x14ac:dyDescent="0.25">
      <c r="B64" s="1" t="s">
        <v>237</v>
      </c>
      <c r="C64" t="s">
        <v>238</v>
      </c>
      <c r="D64" t="s">
        <v>466</v>
      </c>
      <c r="E64" t="s">
        <v>79</v>
      </c>
      <c r="F64" s="144">
        <v>5359155</v>
      </c>
      <c r="G64" s="144">
        <v>3149192</v>
      </c>
      <c r="H64" s="144">
        <v>2209963</v>
      </c>
      <c r="I64" s="146">
        <v>0</v>
      </c>
      <c r="N64" s="135" t="s">
        <v>27</v>
      </c>
    </row>
    <row r="65" spans="2:14" x14ac:dyDescent="0.25">
      <c r="B65" s="1" t="s">
        <v>239</v>
      </c>
      <c r="C65" t="s">
        <v>240</v>
      </c>
      <c r="D65" t="s">
        <v>466</v>
      </c>
      <c r="E65" t="s">
        <v>79</v>
      </c>
      <c r="F65" s="144">
        <v>114733</v>
      </c>
      <c r="G65" s="144">
        <v>0</v>
      </c>
      <c r="H65" s="144">
        <v>114733</v>
      </c>
      <c r="I65" s="146">
        <v>0</v>
      </c>
      <c r="N65" s="135" t="s">
        <v>28</v>
      </c>
    </row>
    <row r="66" spans="2:14" x14ac:dyDescent="0.25">
      <c r="B66" s="1" t="s">
        <v>644</v>
      </c>
      <c r="C66" t="s">
        <v>135</v>
      </c>
      <c r="D66" t="s">
        <v>466</v>
      </c>
      <c r="E66" t="s">
        <v>79</v>
      </c>
      <c r="F66" s="144">
        <v>279076</v>
      </c>
      <c r="G66" s="144">
        <v>238942</v>
      </c>
      <c r="H66" s="144">
        <v>40134</v>
      </c>
      <c r="I66" s="146">
        <v>0</v>
      </c>
      <c r="J66" t="s">
        <v>658</v>
      </c>
      <c r="N66" s="135" t="s">
        <v>605</v>
      </c>
    </row>
    <row r="67" spans="2:14" x14ac:dyDescent="0.25">
      <c r="B67" s="1" t="s">
        <v>617</v>
      </c>
      <c r="C67" t="s">
        <v>618</v>
      </c>
      <c r="D67" t="s">
        <v>465</v>
      </c>
      <c r="E67" t="s">
        <v>78</v>
      </c>
      <c r="F67" s="144">
        <v>17844174</v>
      </c>
      <c r="G67" s="144">
        <v>10339943</v>
      </c>
      <c r="H67" s="144">
        <v>7504231</v>
      </c>
      <c r="I67" s="145">
        <v>20420</v>
      </c>
      <c r="N67" s="135" t="s">
        <v>29</v>
      </c>
    </row>
    <row r="68" spans="2:14" x14ac:dyDescent="0.25">
      <c r="B68" s="1" t="s">
        <v>619</v>
      </c>
      <c r="C68" t="s">
        <v>620</v>
      </c>
      <c r="D68" t="s">
        <v>465</v>
      </c>
      <c r="E68" t="s">
        <v>78</v>
      </c>
      <c r="F68" s="144">
        <v>34058922</v>
      </c>
      <c r="G68" s="144">
        <v>18293155</v>
      </c>
      <c r="H68" s="144">
        <v>15765767</v>
      </c>
      <c r="I68" s="145">
        <v>38429</v>
      </c>
      <c r="N68" s="135" t="s">
        <v>30</v>
      </c>
    </row>
    <row r="69" spans="2:14" x14ac:dyDescent="0.25">
      <c r="B69" s="1" t="s">
        <v>241</v>
      </c>
      <c r="C69" t="s">
        <v>242</v>
      </c>
      <c r="D69" t="s">
        <v>465</v>
      </c>
      <c r="E69" t="s">
        <v>78</v>
      </c>
      <c r="F69" s="144">
        <v>169991590</v>
      </c>
      <c r="G69" s="144">
        <v>77470542</v>
      </c>
      <c r="H69" s="144">
        <v>92521048</v>
      </c>
      <c r="I69" s="145">
        <v>190981</v>
      </c>
      <c r="N69" s="135" t="s">
        <v>679</v>
      </c>
    </row>
    <row r="70" spans="2:14" x14ac:dyDescent="0.25">
      <c r="B70" s="1" t="s">
        <v>621</v>
      </c>
      <c r="C70" t="s">
        <v>243</v>
      </c>
      <c r="D70" t="s">
        <v>465</v>
      </c>
      <c r="E70" t="s">
        <v>78</v>
      </c>
      <c r="F70" s="144">
        <v>8000863</v>
      </c>
      <c r="G70" s="144">
        <v>5929163</v>
      </c>
      <c r="H70" s="144">
        <v>2071700</v>
      </c>
      <c r="I70" s="145">
        <v>7227</v>
      </c>
      <c r="N70" s="135" t="s">
        <v>104</v>
      </c>
    </row>
    <row r="71" spans="2:14" x14ac:dyDescent="0.25">
      <c r="B71" s="1" t="s">
        <v>622</v>
      </c>
      <c r="C71" t="s">
        <v>623</v>
      </c>
      <c r="D71" t="s">
        <v>465</v>
      </c>
      <c r="E71" t="s">
        <v>78</v>
      </c>
      <c r="F71" s="144">
        <v>31870143</v>
      </c>
      <c r="G71" s="144">
        <v>19462969</v>
      </c>
      <c r="H71" s="144">
        <v>12407174</v>
      </c>
      <c r="I71" s="145">
        <v>20232</v>
      </c>
      <c r="N71" s="135" t="s">
        <v>586</v>
      </c>
    </row>
    <row r="72" spans="2:14" x14ac:dyDescent="0.25">
      <c r="B72" s="1" t="s">
        <v>244</v>
      </c>
      <c r="C72" t="s">
        <v>245</v>
      </c>
      <c r="D72" t="s">
        <v>465</v>
      </c>
      <c r="E72" t="s">
        <v>78</v>
      </c>
      <c r="F72" s="144">
        <v>44009753</v>
      </c>
      <c r="G72" s="144">
        <v>3557669</v>
      </c>
      <c r="H72" s="144">
        <v>40452084</v>
      </c>
      <c r="I72" s="145">
        <v>57982</v>
      </c>
      <c r="N72" s="135" t="s">
        <v>105</v>
      </c>
    </row>
    <row r="73" spans="2:14" x14ac:dyDescent="0.25">
      <c r="B73" s="1" t="s">
        <v>12</v>
      </c>
      <c r="C73" t="s">
        <v>246</v>
      </c>
      <c r="D73" t="s">
        <v>465</v>
      </c>
      <c r="E73" t="s">
        <v>78</v>
      </c>
      <c r="F73" s="144">
        <v>35808539</v>
      </c>
      <c r="G73" s="144">
        <v>21878920</v>
      </c>
      <c r="H73" s="144">
        <v>13929619</v>
      </c>
      <c r="I73" s="145">
        <v>29786</v>
      </c>
      <c r="N73" s="135" t="s">
        <v>680</v>
      </c>
    </row>
    <row r="74" spans="2:14" x14ac:dyDescent="0.25">
      <c r="B74" s="1" t="s">
        <v>624</v>
      </c>
      <c r="C74" t="s">
        <v>247</v>
      </c>
      <c r="D74" t="s">
        <v>465</v>
      </c>
      <c r="E74" t="s">
        <v>78</v>
      </c>
      <c r="F74" s="144">
        <v>36385444</v>
      </c>
      <c r="G74" s="144">
        <v>19188827</v>
      </c>
      <c r="H74" s="144">
        <v>17196617</v>
      </c>
      <c r="I74" s="145">
        <v>44493</v>
      </c>
      <c r="N74" s="135" t="s">
        <v>31</v>
      </c>
    </row>
    <row r="75" spans="2:14" x14ac:dyDescent="0.25">
      <c r="B75" s="1" t="s">
        <v>248</v>
      </c>
      <c r="C75" t="s">
        <v>249</v>
      </c>
      <c r="D75" t="s">
        <v>465</v>
      </c>
      <c r="E75" t="s">
        <v>78</v>
      </c>
      <c r="F75" s="144">
        <v>101671563</v>
      </c>
      <c r="G75" s="144">
        <v>44232585</v>
      </c>
      <c r="H75" s="144">
        <v>57438978</v>
      </c>
      <c r="I75" s="145">
        <v>115688</v>
      </c>
      <c r="N75" s="135" t="s">
        <v>5</v>
      </c>
    </row>
    <row r="76" spans="2:14" x14ac:dyDescent="0.25">
      <c r="B76" s="1" t="s">
        <v>625</v>
      </c>
      <c r="C76" t="s">
        <v>250</v>
      </c>
      <c r="D76" t="s">
        <v>465</v>
      </c>
      <c r="E76" t="s">
        <v>78</v>
      </c>
      <c r="F76" s="144">
        <v>20606295</v>
      </c>
      <c r="G76" s="144">
        <v>7225813</v>
      </c>
      <c r="H76" s="144">
        <v>13380482</v>
      </c>
      <c r="I76" s="145">
        <v>31433</v>
      </c>
      <c r="N76" s="135" t="s">
        <v>32</v>
      </c>
    </row>
    <row r="77" spans="2:14" x14ac:dyDescent="0.25">
      <c r="B77" s="1" t="s">
        <v>626</v>
      </c>
      <c r="C77" t="s">
        <v>251</v>
      </c>
      <c r="D77" t="s">
        <v>465</v>
      </c>
      <c r="E77" t="s">
        <v>78</v>
      </c>
      <c r="F77" s="144">
        <v>10034825</v>
      </c>
      <c r="G77" s="144">
        <v>4401000</v>
      </c>
      <c r="H77" s="144">
        <v>5633825</v>
      </c>
      <c r="I77" s="145">
        <v>7339</v>
      </c>
      <c r="N77" s="135" t="s">
        <v>606</v>
      </c>
    </row>
    <row r="78" spans="2:14" x14ac:dyDescent="0.25">
      <c r="B78" s="1" t="s">
        <v>252</v>
      </c>
      <c r="C78" t="s">
        <v>253</v>
      </c>
      <c r="D78" t="s">
        <v>465</v>
      </c>
      <c r="E78" t="s">
        <v>78</v>
      </c>
      <c r="F78" s="144">
        <v>1317632</v>
      </c>
      <c r="G78" s="144">
        <v>899776</v>
      </c>
      <c r="H78" s="144">
        <v>417856</v>
      </c>
      <c r="I78" s="145">
        <v>690</v>
      </c>
      <c r="N78" s="135" t="s">
        <v>33</v>
      </c>
    </row>
    <row r="79" spans="2:14" x14ac:dyDescent="0.25">
      <c r="B79" s="1" t="s">
        <v>71</v>
      </c>
      <c r="C79" t="s">
        <v>74</v>
      </c>
      <c r="D79" t="s">
        <v>465</v>
      </c>
      <c r="E79" t="s">
        <v>78</v>
      </c>
      <c r="F79" s="144">
        <v>18224915</v>
      </c>
      <c r="G79" s="144">
        <v>8379556</v>
      </c>
      <c r="H79" s="144">
        <v>9845359</v>
      </c>
      <c r="I79" s="145">
        <v>19795</v>
      </c>
      <c r="N79" s="135" t="s">
        <v>681</v>
      </c>
    </row>
    <row r="80" spans="2:14" x14ac:dyDescent="0.25">
      <c r="B80" s="1" t="s">
        <v>254</v>
      </c>
      <c r="C80" t="s">
        <v>255</v>
      </c>
      <c r="D80" t="s">
        <v>465</v>
      </c>
      <c r="E80" t="s">
        <v>78</v>
      </c>
      <c r="F80" s="144">
        <v>11161</v>
      </c>
      <c r="G80" s="144">
        <v>0</v>
      </c>
      <c r="H80" s="144">
        <v>11161</v>
      </c>
      <c r="I80" s="146">
        <v>0</v>
      </c>
      <c r="N80" s="135" t="s">
        <v>682</v>
      </c>
    </row>
    <row r="81" spans="2:14" x14ac:dyDescent="0.25">
      <c r="B81" s="1" t="s">
        <v>256</v>
      </c>
      <c r="C81" t="s">
        <v>257</v>
      </c>
      <c r="D81" t="s">
        <v>465</v>
      </c>
      <c r="E81" t="s">
        <v>78</v>
      </c>
      <c r="F81" s="144">
        <v>752866</v>
      </c>
      <c r="G81" s="144">
        <v>0</v>
      </c>
      <c r="H81" s="144">
        <v>752866</v>
      </c>
      <c r="I81" s="145">
        <v>2476</v>
      </c>
      <c r="N81" s="135" t="s">
        <v>34</v>
      </c>
    </row>
    <row r="82" spans="2:14" x14ac:dyDescent="0.25">
      <c r="B82" s="1" t="s">
        <v>258</v>
      </c>
      <c r="C82" t="s">
        <v>259</v>
      </c>
      <c r="D82" t="s">
        <v>465</v>
      </c>
      <c r="E82" t="s">
        <v>78</v>
      </c>
      <c r="F82" s="144">
        <v>0</v>
      </c>
      <c r="G82" s="144">
        <v>0</v>
      </c>
      <c r="H82" s="144">
        <v>0</v>
      </c>
      <c r="I82" s="146">
        <v>0</v>
      </c>
      <c r="N82" s="135" t="s">
        <v>35</v>
      </c>
    </row>
    <row r="83" spans="2:14" x14ac:dyDescent="0.25">
      <c r="B83" s="1" t="s">
        <v>260</v>
      </c>
      <c r="C83" t="s">
        <v>261</v>
      </c>
      <c r="D83" t="s">
        <v>465</v>
      </c>
      <c r="E83" t="s">
        <v>78</v>
      </c>
      <c r="F83" s="144">
        <v>7269050</v>
      </c>
      <c r="G83" s="144">
        <v>3838366</v>
      </c>
      <c r="H83" s="144">
        <v>3430684</v>
      </c>
      <c r="I83" s="145">
        <v>5733</v>
      </c>
      <c r="N83" s="135" t="s">
        <v>36</v>
      </c>
    </row>
    <row r="84" spans="2:14" x14ac:dyDescent="0.25">
      <c r="B84" s="1" t="s">
        <v>262</v>
      </c>
      <c r="C84" t="s">
        <v>627</v>
      </c>
      <c r="D84" t="s">
        <v>465</v>
      </c>
      <c r="E84" t="s">
        <v>78</v>
      </c>
      <c r="F84" s="144">
        <v>19507053</v>
      </c>
      <c r="G84" s="144">
        <v>9441901</v>
      </c>
      <c r="H84" s="144">
        <v>10065152</v>
      </c>
      <c r="I84" s="145">
        <v>28636</v>
      </c>
      <c r="N84" s="135" t="s">
        <v>683</v>
      </c>
    </row>
    <row r="85" spans="2:14" x14ac:dyDescent="0.25">
      <c r="B85" s="1" t="s">
        <v>263</v>
      </c>
      <c r="C85" t="s">
        <v>264</v>
      </c>
      <c r="D85" t="s">
        <v>465</v>
      </c>
      <c r="E85" t="s">
        <v>78</v>
      </c>
      <c r="F85" s="144">
        <v>1095756</v>
      </c>
      <c r="G85" s="144">
        <v>0</v>
      </c>
      <c r="H85" s="144">
        <v>1095756</v>
      </c>
      <c r="I85" s="145">
        <v>7965</v>
      </c>
      <c r="N85" s="135" t="s">
        <v>37</v>
      </c>
    </row>
    <row r="86" spans="2:14" x14ac:dyDescent="0.25">
      <c r="B86" s="1" t="s">
        <v>265</v>
      </c>
      <c r="C86" t="s">
        <v>266</v>
      </c>
      <c r="D86" t="s">
        <v>466</v>
      </c>
      <c r="E86" t="s">
        <v>78</v>
      </c>
      <c r="F86" s="144">
        <v>1162648</v>
      </c>
      <c r="G86" s="144">
        <v>518197</v>
      </c>
      <c r="H86" s="144">
        <v>644451</v>
      </c>
      <c r="I86" s="145">
        <v>2126</v>
      </c>
      <c r="N86" s="135" t="s">
        <v>110</v>
      </c>
    </row>
    <row r="87" spans="2:14" x14ac:dyDescent="0.25">
      <c r="B87" s="1" t="s">
        <v>628</v>
      </c>
      <c r="C87" t="s">
        <v>629</v>
      </c>
      <c r="D87" t="s">
        <v>465</v>
      </c>
      <c r="E87" t="s">
        <v>78</v>
      </c>
      <c r="F87" s="144">
        <v>0</v>
      </c>
      <c r="G87" s="144">
        <v>0</v>
      </c>
      <c r="H87" s="144">
        <v>0</v>
      </c>
      <c r="I87" s="146">
        <v>0</v>
      </c>
      <c r="N87" s="135" t="s">
        <v>684</v>
      </c>
    </row>
    <row r="88" spans="2:14" x14ac:dyDescent="0.25">
      <c r="B88" s="1" t="s">
        <v>267</v>
      </c>
      <c r="C88" t="s">
        <v>268</v>
      </c>
      <c r="D88" t="s">
        <v>466</v>
      </c>
      <c r="E88" t="s">
        <v>78</v>
      </c>
      <c r="F88" s="144">
        <v>6113581</v>
      </c>
      <c r="G88" s="144">
        <v>2448669</v>
      </c>
      <c r="H88" s="144">
        <v>3664912</v>
      </c>
      <c r="I88" s="146">
        <v>19930</v>
      </c>
      <c r="J88" s="143"/>
      <c r="N88" s="135" t="s">
        <v>685</v>
      </c>
    </row>
    <row r="89" spans="2:14" x14ac:dyDescent="0.25">
      <c r="B89" s="1" t="s">
        <v>269</v>
      </c>
      <c r="C89" t="s">
        <v>270</v>
      </c>
      <c r="D89" t="s">
        <v>465</v>
      </c>
      <c r="E89" t="s">
        <v>78</v>
      </c>
      <c r="F89" s="144">
        <v>2610140</v>
      </c>
      <c r="G89" s="144">
        <v>1782815</v>
      </c>
      <c r="H89" s="144">
        <v>827325</v>
      </c>
      <c r="I89" s="146">
        <v>0</v>
      </c>
      <c r="N89" s="135" t="s">
        <v>6</v>
      </c>
    </row>
    <row r="90" spans="2:14" x14ac:dyDescent="0.25">
      <c r="B90" s="1" t="s">
        <v>272</v>
      </c>
      <c r="C90" t="s">
        <v>273</v>
      </c>
      <c r="D90" t="s">
        <v>465</v>
      </c>
      <c r="E90" t="s">
        <v>78</v>
      </c>
      <c r="F90" s="144">
        <v>572324</v>
      </c>
      <c r="G90" s="144">
        <v>0</v>
      </c>
      <c r="H90" s="144">
        <v>572324</v>
      </c>
      <c r="I90" s="145">
        <v>637</v>
      </c>
      <c r="N90" s="135" t="s">
        <v>7</v>
      </c>
    </row>
    <row r="91" spans="2:14" x14ac:dyDescent="0.25">
      <c r="B91" s="1" t="s">
        <v>274</v>
      </c>
      <c r="C91" t="s">
        <v>275</v>
      </c>
      <c r="D91" t="s">
        <v>466</v>
      </c>
      <c r="E91" t="s">
        <v>79</v>
      </c>
      <c r="F91" s="144">
        <v>25495</v>
      </c>
      <c r="G91" s="144">
        <v>0</v>
      </c>
      <c r="H91" s="144">
        <v>25495</v>
      </c>
      <c r="I91" s="146">
        <v>0</v>
      </c>
      <c r="N91" s="135" t="s">
        <v>686</v>
      </c>
    </row>
    <row r="92" spans="2:14" x14ac:dyDescent="0.25">
      <c r="B92" s="1" t="s">
        <v>276</v>
      </c>
      <c r="C92" t="s">
        <v>277</v>
      </c>
      <c r="D92" t="s">
        <v>466</v>
      </c>
      <c r="E92" t="s">
        <v>78</v>
      </c>
      <c r="F92" s="144">
        <v>890706</v>
      </c>
      <c r="G92" s="144">
        <v>808570</v>
      </c>
      <c r="H92" s="144">
        <v>82136</v>
      </c>
      <c r="I92" s="145">
        <v>659</v>
      </c>
      <c r="N92" s="135" t="s">
        <v>687</v>
      </c>
    </row>
    <row r="93" spans="2:14" x14ac:dyDescent="0.25">
      <c r="B93" s="1" t="s">
        <v>278</v>
      </c>
      <c r="C93" t="s">
        <v>630</v>
      </c>
      <c r="D93" t="s">
        <v>465</v>
      </c>
      <c r="E93" t="s">
        <v>78</v>
      </c>
      <c r="F93" s="144">
        <v>4469245</v>
      </c>
      <c r="G93" s="144">
        <v>3720686</v>
      </c>
      <c r="H93" s="144">
        <v>748559</v>
      </c>
      <c r="I93" s="145">
        <v>1987</v>
      </c>
      <c r="N93" s="135" t="s">
        <v>688</v>
      </c>
    </row>
    <row r="94" spans="2:14" x14ac:dyDescent="0.25">
      <c r="B94" s="1" t="s">
        <v>70</v>
      </c>
      <c r="C94" t="s">
        <v>75</v>
      </c>
      <c r="D94" t="s">
        <v>465</v>
      </c>
      <c r="E94" t="s">
        <v>78</v>
      </c>
      <c r="F94" s="144">
        <v>1471437</v>
      </c>
      <c r="G94" s="144">
        <v>378703</v>
      </c>
      <c r="H94" s="144">
        <v>1092734</v>
      </c>
      <c r="I94" s="145">
        <v>2162</v>
      </c>
      <c r="N94" s="135" t="s">
        <v>38</v>
      </c>
    </row>
    <row r="95" spans="2:14" x14ac:dyDescent="0.25">
      <c r="B95" s="1" t="s">
        <v>279</v>
      </c>
      <c r="C95" t="s">
        <v>280</v>
      </c>
      <c r="D95" t="s">
        <v>466</v>
      </c>
      <c r="E95" t="s">
        <v>79</v>
      </c>
      <c r="F95" s="144">
        <v>1276981</v>
      </c>
      <c r="G95" s="144">
        <v>857185</v>
      </c>
      <c r="H95" s="144">
        <v>419796</v>
      </c>
      <c r="I95" s="146">
        <v>0</v>
      </c>
      <c r="N95" s="135" t="s">
        <v>39</v>
      </c>
    </row>
    <row r="96" spans="2:14" x14ac:dyDescent="0.25">
      <c r="B96" s="1" t="s">
        <v>281</v>
      </c>
      <c r="C96" t="s">
        <v>282</v>
      </c>
      <c r="D96" t="s">
        <v>465</v>
      </c>
      <c r="E96" t="s">
        <v>78</v>
      </c>
      <c r="F96" s="144">
        <v>1514211</v>
      </c>
      <c r="G96" s="144">
        <v>1111626</v>
      </c>
      <c r="H96" s="144">
        <v>402585</v>
      </c>
      <c r="I96" s="145">
        <v>1168</v>
      </c>
      <c r="N96" s="135" t="s">
        <v>112</v>
      </c>
    </row>
    <row r="97" spans="2:14" x14ac:dyDescent="0.25">
      <c r="B97" s="1" t="s">
        <v>639</v>
      </c>
      <c r="C97" t="s">
        <v>640</v>
      </c>
      <c r="D97" t="s">
        <v>466</v>
      </c>
      <c r="E97" t="s">
        <v>78</v>
      </c>
      <c r="F97" s="144">
        <v>0</v>
      </c>
      <c r="G97" s="144">
        <v>0</v>
      </c>
      <c r="H97" s="144">
        <v>0</v>
      </c>
      <c r="I97" s="146">
        <v>0</v>
      </c>
      <c r="N97" s="135" t="s">
        <v>40</v>
      </c>
    </row>
    <row r="98" spans="2:14" x14ac:dyDescent="0.25">
      <c r="B98" s="1" t="s">
        <v>645</v>
      </c>
      <c r="C98" t="s">
        <v>314</v>
      </c>
      <c r="D98" t="s">
        <v>466</v>
      </c>
      <c r="E98" t="s">
        <v>79</v>
      </c>
      <c r="F98" s="144">
        <v>2850816</v>
      </c>
      <c r="G98" s="144">
        <v>1936528</v>
      </c>
      <c r="H98" s="144">
        <v>914288</v>
      </c>
      <c r="I98" s="146">
        <v>0</v>
      </c>
      <c r="J98" t="s">
        <v>659</v>
      </c>
      <c r="N98" s="135" t="s">
        <v>41</v>
      </c>
    </row>
    <row r="99" spans="2:14" x14ac:dyDescent="0.25">
      <c r="B99" s="1" t="s">
        <v>631</v>
      </c>
      <c r="C99" t="s">
        <v>283</v>
      </c>
      <c r="D99" t="s">
        <v>465</v>
      </c>
      <c r="E99" t="s">
        <v>78</v>
      </c>
      <c r="F99" s="144">
        <v>190111</v>
      </c>
      <c r="G99" s="144">
        <v>154165</v>
      </c>
      <c r="H99" s="144">
        <v>35946</v>
      </c>
      <c r="I99" s="146">
        <v>0</v>
      </c>
      <c r="N99" s="135" t="s">
        <v>42</v>
      </c>
    </row>
    <row r="100" spans="2:14" x14ac:dyDescent="0.25">
      <c r="B100" s="1" t="s">
        <v>284</v>
      </c>
      <c r="C100" t="s">
        <v>572</v>
      </c>
      <c r="D100" t="s">
        <v>465</v>
      </c>
      <c r="E100" t="s">
        <v>78</v>
      </c>
      <c r="F100" s="144">
        <v>102513</v>
      </c>
      <c r="G100" s="144">
        <v>85229</v>
      </c>
      <c r="H100" s="144">
        <v>17284</v>
      </c>
      <c r="I100" s="146">
        <v>0</v>
      </c>
      <c r="N100" s="135" t="s">
        <v>43</v>
      </c>
    </row>
    <row r="101" spans="2:14" x14ac:dyDescent="0.25">
      <c r="B101" s="1" t="s">
        <v>285</v>
      </c>
      <c r="C101" t="s">
        <v>632</v>
      </c>
      <c r="D101" t="s">
        <v>466</v>
      </c>
      <c r="E101" t="s">
        <v>79</v>
      </c>
      <c r="F101" s="144">
        <v>2637786</v>
      </c>
      <c r="G101" s="144">
        <v>1815318</v>
      </c>
      <c r="H101" s="144">
        <v>822468</v>
      </c>
      <c r="I101" s="146">
        <v>0</v>
      </c>
      <c r="N101" s="135" t="s">
        <v>607</v>
      </c>
    </row>
    <row r="102" spans="2:14" x14ac:dyDescent="0.25">
      <c r="B102" s="1" t="s">
        <v>286</v>
      </c>
      <c r="C102" t="s">
        <v>287</v>
      </c>
      <c r="D102" t="s">
        <v>466</v>
      </c>
      <c r="E102" t="s">
        <v>79</v>
      </c>
      <c r="F102" s="144">
        <v>1366454</v>
      </c>
      <c r="G102" s="144">
        <v>411877</v>
      </c>
      <c r="H102" s="144">
        <v>954577</v>
      </c>
      <c r="I102" s="146">
        <v>0</v>
      </c>
      <c r="N102" s="135" t="s">
        <v>573</v>
      </c>
    </row>
    <row r="103" spans="2:14" x14ac:dyDescent="0.25">
      <c r="B103" s="1" t="s">
        <v>288</v>
      </c>
      <c r="C103" t="s">
        <v>289</v>
      </c>
      <c r="D103" t="s">
        <v>466</v>
      </c>
      <c r="E103" t="s">
        <v>79</v>
      </c>
      <c r="F103" s="144">
        <v>168560</v>
      </c>
      <c r="G103" s="144">
        <v>142284</v>
      </c>
      <c r="H103" s="144">
        <v>26276</v>
      </c>
      <c r="I103" s="146">
        <v>0</v>
      </c>
      <c r="N103" s="135" t="s">
        <v>587</v>
      </c>
    </row>
    <row r="104" spans="2:14" x14ac:dyDescent="0.25">
      <c r="B104" s="1" t="s">
        <v>290</v>
      </c>
      <c r="C104" t="s">
        <v>291</v>
      </c>
      <c r="D104" t="s">
        <v>465</v>
      </c>
      <c r="E104" t="s">
        <v>78</v>
      </c>
      <c r="F104" s="144">
        <v>156583</v>
      </c>
      <c r="G104" s="144">
        <v>0</v>
      </c>
      <c r="H104" s="144">
        <v>156583</v>
      </c>
      <c r="I104" s="146">
        <v>0</v>
      </c>
      <c r="N104" s="135" t="s">
        <v>8</v>
      </c>
    </row>
    <row r="105" spans="2:14" x14ac:dyDescent="0.25">
      <c r="B105" s="1" t="s">
        <v>292</v>
      </c>
      <c r="C105" t="s">
        <v>293</v>
      </c>
      <c r="D105" t="s">
        <v>465</v>
      </c>
      <c r="E105" t="s">
        <v>78</v>
      </c>
      <c r="F105" s="144">
        <v>1956981</v>
      </c>
      <c r="G105" s="144">
        <v>968323</v>
      </c>
      <c r="H105" s="144">
        <v>988658</v>
      </c>
      <c r="I105" s="145">
        <v>1477</v>
      </c>
      <c r="N105" s="135" t="s">
        <v>44</v>
      </c>
    </row>
    <row r="106" spans="2:14" x14ac:dyDescent="0.25">
      <c r="B106" s="1" t="s">
        <v>294</v>
      </c>
      <c r="C106" t="s">
        <v>295</v>
      </c>
      <c r="D106" t="s">
        <v>465</v>
      </c>
      <c r="E106" t="s">
        <v>78</v>
      </c>
      <c r="F106" s="144">
        <v>1514548</v>
      </c>
      <c r="G106" s="144">
        <v>1193221</v>
      </c>
      <c r="H106" s="144">
        <v>321327</v>
      </c>
      <c r="I106" s="145">
        <v>532</v>
      </c>
      <c r="N106" s="135" t="s">
        <v>588</v>
      </c>
    </row>
    <row r="107" spans="2:14" x14ac:dyDescent="0.25">
      <c r="B107" s="1" t="s">
        <v>646</v>
      </c>
      <c r="C107" t="s">
        <v>647</v>
      </c>
      <c r="D107" t="s">
        <v>465</v>
      </c>
      <c r="E107" t="s">
        <v>78</v>
      </c>
      <c r="F107" s="144">
        <v>0</v>
      </c>
      <c r="G107" s="144">
        <v>0</v>
      </c>
      <c r="H107" s="144">
        <v>0</v>
      </c>
      <c r="I107" s="146">
        <v>0</v>
      </c>
      <c r="J107" t="s">
        <v>660</v>
      </c>
      <c r="N107" s="135" t="s">
        <v>689</v>
      </c>
    </row>
    <row r="108" spans="2:14" x14ac:dyDescent="0.25">
      <c r="B108" s="1" t="s">
        <v>296</v>
      </c>
      <c r="C108" t="s">
        <v>297</v>
      </c>
      <c r="D108" t="s">
        <v>465</v>
      </c>
      <c r="E108" t="s">
        <v>78</v>
      </c>
      <c r="F108" s="144">
        <v>469346</v>
      </c>
      <c r="G108" s="144">
        <v>0</v>
      </c>
      <c r="H108" s="144">
        <v>469346</v>
      </c>
      <c r="I108" s="146">
        <v>0</v>
      </c>
      <c r="N108" s="135" t="s">
        <v>690</v>
      </c>
    </row>
    <row r="109" spans="2:14" x14ac:dyDescent="0.25">
      <c r="B109" s="1" t="s">
        <v>298</v>
      </c>
      <c r="C109" t="s">
        <v>299</v>
      </c>
      <c r="D109" t="s">
        <v>465</v>
      </c>
      <c r="E109" t="s">
        <v>78</v>
      </c>
      <c r="F109" s="144">
        <v>533500</v>
      </c>
      <c r="G109" s="144">
        <v>0</v>
      </c>
      <c r="H109" s="144">
        <v>533500</v>
      </c>
      <c r="I109" s="145">
        <v>1345</v>
      </c>
      <c r="N109" s="135" t="s">
        <v>608</v>
      </c>
    </row>
    <row r="110" spans="2:14" x14ac:dyDescent="0.25">
      <c r="B110" s="1" t="s">
        <v>300</v>
      </c>
      <c r="C110" t="s">
        <v>301</v>
      </c>
      <c r="D110" t="s">
        <v>465</v>
      </c>
      <c r="E110" t="s">
        <v>78</v>
      </c>
      <c r="F110" s="144">
        <v>1791592</v>
      </c>
      <c r="G110" s="144">
        <v>220489</v>
      </c>
      <c r="H110" s="144">
        <v>1571103</v>
      </c>
      <c r="I110" s="145">
        <v>3300</v>
      </c>
      <c r="N110" s="135" t="s">
        <v>45</v>
      </c>
    </row>
    <row r="111" spans="2:14" x14ac:dyDescent="0.25">
      <c r="B111" s="1" t="s">
        <v>302</v>
      </c>
      <c r="C111" t="s">
        <v>303</v>
      </c>
      <c r="D111" t="s">
        <v>465</v>
      </c>
      <c r="E111" t="s">
        <v>78</v>
      </c>
      <c r="F111" s="144">
        <v>9540</v>
      </c>
      <c r="G111" s="144">
        <v>9444</v>
      </c>
      <c r="H111" s="144">
        <v>96</v>
      </c>
      <c r="I111" s="146">
        <v>0</v>
      </c>
      <c r="N111" s="135" t="s">
        <v>46</v>
      </c>
    </row>
    <row r="112" spans="2:14" x14ac:dyDescent="0.25">
      <c r="B112" s="1" t="s">
        <v>304</v>
      </c>
      <c r="C112" t="s">
        <v>305</v>
      </c>
      <c r="D112" t="s">
        <v>466</v>
      </c>
      <c r="E112" t="s">
        <v>78</v>
      </c>
      <c r="F112" s="144">
        <v>80826768</v>
      </c>
      <c r="G112" s="144">
        <v>8767786</v>
      </c>
      <c r="H112" s="144">
        <v>72058982</v>
      </c>
      <c r="I112" s="145">
        <v>158947</v>
      </c>
      <c r="N112" s="135" t="s">
        <v>691</v>
      </c>
    </row>
    <row r="113" spans="2:14" x14ac:dyDescent="0.25">
      <c r="B113" s="1" t="s">
        <v>633</v>
      </c>
      <c r="C113" t="s">
        <v>634</v>
      </c>
      <c r="D113" t="s">
        <v>465</v>
      </c>
      <c r="E113" t="s">
        <v>78</v>
      </c>
      <c r="F113" s="144">
        <v>528250</v>
      </c>
      <c r="G113" s="144">
        <v>0</v>
      </c>
      <c r="H113" s="144">
        <v>528250</v>
      </c>
      <c r="I113" s="145">
        <v>621</v>
      </c>
      <c r="N113" s="135" t="s">
        <v>692</v>
      </c>
    </row>
    <row r="114" spans="2:14" x14ac:dyDescent="0.25">
      <c r="B114" s="1" t="s">
        <v>306</v>
      </c>
      <c r="C114" t="s">
        <v>307</v>
      </c>
      <c r="D114" t="s">
        <v>466</v>
      </c>
      <c r="E114" t="s">
        <v>79</v>
      </c>
      <c r="F114" s="144">
        <v>29837</v>
      </c>
      <c r="G114" s="144">
        <v>2479</v>
      </c>
      <c r="H114" s="144">
        <v>27358</v>
      </c>
      <c r="I114" s="146">
        <v>0</v>
      </c>
      <c r="N114" s="135" t="s">
        <v>47</v>
      </c>
    </row>
    <row r="115" spans="2:14" x14ac:dyDescent="0.25">
      <c r="B115" s="1" t="s">
        <v>308</v>
      </c>
      <c r="C115" t="s">
        <v>309</v>
      </c>
      <c r="D115" t="s">
        <v>466</v>
      </c>
      <c r="E115" t="s">
        <v>78</v>
      </c>
      <c r="F115" s="144">
        <v>824134</v>
      </c>
      <c r="G115" s="144">
        <v>166998</v>
      </c>
      <c r="H115" s="144">
        <v>657136</v>
      </c>
      <c r="I115" s="145">
        <v>538</v>
      </c>
      <c r="N115" s="135" t="s">
        <v>693</v>
      </c>
    </row>
    <row r="116" spans="2:14" x14ac:dyDescent="0.25">
      <c r="B116" s="1" t="s">
        <v>310</v>
      </c>
      <c r="C116" t="s">
        <v>311</v>
      </c>
      <c r="D116" t="s">
        <v>465</v>
      </c>
      <c r="E116" t="s">
        <v>78</v>
      </c>
      <c r="F116" s="144">
        <v>446021</v>
      </c>
      <c r="G116" s="144">
        <v>346077</v>
      </c>
      <c r="H116" s="144">
        <v>99944</v>
      </c>
      <c r="I116" s="146">
        <v>0</v>
      </c>
      <c r="N116" s="135" t="s">
        <v>109</v>
      </c>
    </row>
    <row r="117" spans="2:14" x14ac:dyDescent="0.25">
      <c r="B117" s="1" t="s">
        <v>312</v>
      </c>
      <c r="C117" t="s">
        <v>313</v>
      </c>
      <c r="D117" t="s">
        <v>465</v>
      </c>
      <c r="E117" t="s">
        <v>78</v>
      </c>
      <c r="F117" s="144">
        <v>0</v>
      </c>
      <c r="G117" s="144">
        <v>0</v>
      </c>
      <c r="H117" s="144">
        <v>0</v>
      </c>
      <c r="I117" s="146">
        <v>0</v>
      </c>
      <c r="N117" s="135" t="s">
        <v>609</v>
      </c>
    </row>
    <row r="118" spans="2:14" x14ac:dyDescent="0.25">
      <c r="B118" s="1" t="s">
        <v>315</v>
      </c>
      <c r="C118" t="s">
        <v>316</v>
      </c>
      <c r="D118" t="s">
        <v>465</v>
      </c>
      <c r="E118" t="s">
        <v>78</v>
      </c>
      <c r="F118" s="144">
        <v>6622749</v>
      </c>
      <c r="G118" s="144">
        <v>4605894</v>
      </c>
      <c r="H118" s="144">
        <v>2016855</v>
      </c>
      <c r="I118" s="145">
        <v>3221</v>
      </c>
      <c r="N118" s="135" t="s">
        <v>48</v>
      </c>
    </row>
    <row r="119" spans="2:14" x14ac:dyDescent="0.25">
      <c r="B119" s="1" t="s">
        <v>317</v>
      </c>
      <c r="C119" t="s">
        <v>318</v>
      </c>
      <c r="D119" t="s">
        <v>466</v>
      </c>
      <c r="E119" t="s">
        <v>78</v>
      </c>
      <c r="F119" s="144">
        <v>256559</v>
      </c>
      <c r="G119" s="144">
        <v>98982</v>
      </c>
      <c r="H119" s="144">
        <v>157577</v>
      </c>
      <c r="I119" s="146">
        <v>0</v>
      </c>
      <c r="N119" s="135" t="s">
        <v>49</v>
      </c>
    </row>
    <row r="120" spans="2:14" x14ac:dyDescent="0.25">
      <c r="B120" s="1" t="s">
        <v>319</v>
      </c>
      <c r="C120" t="s">
        <v>320</v>
      </c>
      <c r="D120" t="s">
        <v>465</v>
      </c>
      <c r="E120" t="s">
        <v>78</v>
      </c>
      <c r="F120" s="144">
        <v>145325</v>
      </c>
      <c r="G120" s="144">
        <v>0</v>
      </c>
      <c r="H120" s="144">
        <v>145325</v>
      </c>
      <c r="I120" s="146">
        <v>0</v>
      </c>
      <c r="N120" s="135" t="s">
        <v>610</v>
      </c>
    </row>
    <row r="121" spans="2:14" x14ac:dyDescent="0.25">
      <c r="B121" s="1" t="s">
        <v>321</v>
      </c>
      <c r="C121" t="s">
        <v>322</v>
      </c>
      <c r="D121" t="s">
        <v>466</v>
      </c>
      <c r="E121" t="s">
        <v>79</v>
      </c>
      <c r="F121" s="144">
        <v>204749</v>
      </c>
      <c r="G121" s="144">
        <v>180129</v>
      </c>
      <c r="H121" s="144">
        <v>24620</v>
      </c>
      <c r="I121" s="146">
        <v>0</v>
      </c>
      <c r="N121" s="135" t="s">
        <v>50</v>
      </c>
    </row>
    <row r="122" spans="2:14" x14ac:dyDescent="0.25">
      <c r="B122" s="1" t="s">
        <v>323</v>
      </c>
      <c r="C122" t="s">
        <v>324</v>
      </c>
      <c r="D122" t="s">
        <v>465</v>
      </c>
      <c r="E122" t="s">
        <v>78</v>
      </c>
      <c r="F122" s="144">
        <v>1412620</v>
      </c>
      <c r="G122" s="144">
        <v>962523</v>
      </c>
      <c r="H122" s="144">
        <v>450097</v>
      </c>
      <c r="I122" s="146">
        <v>0</v>
      </c>
      <c r="N122" s="135" t="s">
        <v>51</v>
      </c>
    </row>
    <row r="123" spans="2:14" x14ac:dyDescent="0.25">
      <c r="B123" s="1" t="s">
        <v>325</v>
      </c>
      <c r="C123" t="s">
        <v>326</v>
      </c>
      <c r="D123" t="s">
        <v>466</v>
      </c>
      <c r="E123" t="s">
        <v>79</v>
      </c>
      <c r="F123" s="144">
        <v>18085</v>
      </c>
      <c r="G123" s="144">
        <v>0</v>
      </c>
      <c r="H123" s="144">
        <v>18085</v>
      </c>
      <c r="I123" s="146">
        <v>0</v>
      </c>
      <c r="N123" s="135" t="s">
        <v>589</v>
      </c>
    </row>
    <row r="124" spans="2:14" x14ac:dyDescent="0.25">
      <c r="B124" s="1" t="s">
        <v>648</v>
      </c>
      <c r="C124" t="s">
        <v>649</v>
      </c>
      <c r="D124" t="s">
        <v>466</v>
      </c>
      <c r="E124" t="s">
        <v>79</v>
      </c>
      <c r="F124" s="144">
        <v>0</v>
      </c>
      <c r="G124" s="144">
        <v>0</v>
      </c>
      <c r="H124" s="144">
        <v>0</v>
      </c>
      <c r="I124" s="146">
        <v>0</v>
      </c>
      <c r="J124" t="s">
        <v>660</v>
      </c>
      <c r="N124" s="135" t="s">
        <v>11</v>
      </c>
    </row>
    <row r="125" spans="2:14" x14ac:dyDescent="0.25">
      <c r="B125" s="1" t="s">
        <v>327</v>
      </c>
      <c r="C125" t="s">
        <v>328</v>
      </c>
      <c r="D125" t="s">
        <v>466</v>
      </c>
      <c r="E125" t="s">
        <v>79</v>
      </c>
      <c r="F125" s="144">
        <v>89413</v>
      </c>
      <c r="G125" s="144">
        <v>61344</v>
      </c>
      <c r="H125" s="144">
        <v>28069</v>
      </c>
      <c r="I125" s="146">
        <v>0</v>
      </c>
      <c r="N125" s="135" t="s">
        <v>694</v>
      </c>
    </row>
    <row r="126" spans="2:14" x14ac:dyDescent="0.25">
      <c r="B126" s="1" t="s">
        <v>329</v>
      </c>
      <c r="C126" t="s">
        <v>330</v>
      </c>
      <c r="D126" t="s">
        <v>465</v>
      </c>
      <c r="E126" t="s">
        <v>78</v>
      </c>
      <c r="F126" s="144">
        <v>1945738</v>
      </c>
      <c r="G126" s="144">
        <v>1490412</v>
      </c>
      <c r="H126" s="144">
        <v>455326</v>
      </c>
      <c r="I126" s="145">
        <v>1159</v>
      </c>
      <c r="N126" s="135" t="s">
        <v>695</v>
      </c>
    </row>
    <row r="127" spans="2:14" x14ac:dyDescent="0.25">
      <c r="B127" s="1" t="s">
        <v>638</v>
      </c>
      <c r="C127" t="s">
        <v>331</v>
      </c>
      <c r="D127" t="s">
        <v>466</v>
      </c>
      <c r="E127" t="s">
        <v>79</v>
      </c>
      <c r="F127" s="144">
        <v>1023066</v>
      </c>
      <c r="G127" s="144">
        <v>695235</v>
      </c>
      <c r="H127" s="144">
        <v>327831</v>
      </c>
      <c r="I127" s="146">
        <v>0</v>
      </c>
      <c r="N127" s="135" t="s">
        <v>696</v>
      </c>
    </row>
    <row r="128" spans="2:14" x14ac:dyDescent="0.25">
      <c r="B128" s="1" t="s">
        <v>332</v>
      </c>
      <c r="C128" t="s">
        <v>635</v>
      </c>
      <c r="D128" t="s">
        <v>466</v>
      </c>
      <c r="E128" t="s">
        <v>79</v>
      </c>
      <c r="F128" s="144">
        <v>10325645</v>
      </c>
      <c r="G128" s="144">
        <v>6246227</v>
      </c>
      <c r="H128" s="144">
        <v>4079418</v>
      </c>
      <c r="I128" s="146">
        <v>0</v>
      </c>
      <c r="N128" s="135" t="s">
        <v>590</v>
      </c>
    </row>
    <row r="129" spans="2:14" x14ac:dyDescent="0.25">
      <c r="B129" s="1" t="s">
        <v>650</v>
      </c>
      <c r="C129" t="s">
        <v>651</v>
      </c>
      <c r="D129" t="s">
        <v>466</v>
      </c>
      <c r="E129" t="s">
        <v>79</v>
      </c>
      <c r="F129" s="144">
        <v>0</v>
      </c>
      <c r="G129" s="144">
        <v>0</v>
      </c>
      <c r="H129" s="144">
        <v>0</v>
      </c>
      <c r="I129" s="146">
        <v>0</v>
      </c>
      <c r="J129" t="s">
        <v>661</v>
      </c>
      <c r="N129" s="135" t="s">
        <v>591</v>
      </c>
    </row>
    <row r="130" spans="2:14" x14ac:dyDescent="0.25">
      <c r="B130" s="1" t="s">
        <v>13</v>
      </c>
      <c r="C130" t="s">
        <v>333</v>
      </c>
      <c r="D130" t="s">
        <v>465</v>
      </c>
      <c r="E130" t="s">
        <v>78</v>
      </c>
      <c r="F130" s="144">
        <v>20977</v>
      </c>
      <c r="G130" s="144">
        <v>0</v>
      </c>
      <c r="H130" s="144">
        <v>20977</v>
      </c>
      <c r="I130" s="146">
        <v>0</v>
      </c>
      <c r="N130" s="135" t="s">
        <v>611</v>
      </c>
    </row>
    <row r="131" spans="2:14" x14ac:dyDescent="0.25">
      <c r="B131" s="1" t="s">
        <v>334</v>
      </c>
      <c r="C131" t="s">
        <v>335</v>
      </c>
      <c r="D131" t="s">
        <v>465</v>
      </c>
      <c r="E131" t="s">
        <v>78</v>
      </c>
      <c r="F131" s="144">
        <v>0</v>
      </c>
      <c r="G131" s="144">
        <v>0</v>
      </c>
      <c r="H131" s="144">
        <v>0</v>
      </c>
      <c r="I131" s="146">
        <v>0</v>
      </c>
      <c r="N131" s="135" t="s">
        <v>68</v>
      </c>
    </row>
    <row r="132" spans="2:14" x14ac:dyDescent="0.25">
      <c r="B132" s="1" t="s">
        <v>637</v>
      </c>
      <c r="C132" t="s">
        <v>336</v>
      </c>
      <c r="D132" t="s">
        <v>465</v>
      </c>
      <c r="E132" t="s">
        <v>78</v>
      </c>
      <c r="F132" s="144">
        <v>21813</v>
      </c>
      <c r="G132" s="144">
        <v>0</v>
      </c>
      <c r="H132" s="144">
        <v>21813</v>
      </c>
      <c r="I132" s="146">
        <v>0</v>
      </c>
      <c r="N132" s="135" t="s">
        <v>697</v>
      </c>
    </row>
    <row r="133" spans="2:14" x14ac:dyDescent="0.25">
      <c r="B133" s="1" t="s">
        <v>337</v>
      </c>
      <c r="C133" t="s">
        <v>338</v>
      </c>
      <c r="D133" t="s">
        <v>465</v>
      </c>
      <c r="E133" t="s">
        <v>78</v>
      </c>
      <c r="F133" s="144">
        <v>7372523</v>
      </c>
      <c r="G133" s="144">
        <v>1703009</v>
      </c>
      <c r="H133" s="144">
        <v>5669514</v>
      </c>
      <c r="I133" s="145">
        <v>2239</v>
      </c>
      <c r="N133" s="135" t="s">
        <v>592</v>
      </c>
    </row>
    <row r="134" spans="2:14" x14ac:dyDescent="0.25">
      <c r="B134" s="1" t="s">
        <v>339</v>
      </c>
      <c r="C134" t="s">
        <v>340</v>
      </c>
      <c r="D134" t="s">
        <v>465</v>
      </c>
      <c r="E134" t="s">
        <v>78</v>
      </c>
      <c r="F134" s="144">
        <v>1173164</v>
      </c>
      <c r="G134" s="144">
        <v>781288</v>
      </c>
      <c r="H134" s="144">
        <v>391876</v>
      </c>
      <c r="I134" s="146">
        <v>0</v>
      </c>
      <c r="N134" s="135" t="s">
        <v>52</v>
      </c>
    </row>
    <row r="135" spans="2:14" x14ac:dyDescent="0.25">
      <c r="B135" s="1" t="s">
        <v>341</v>
      </c>
      <c r="C135" t="s">
        <v>342</v>
      </c>
      <c r="D135" t="s">
        <v>465</v>
      </c>
      <c r="E135" t="s">
        <v>78</v>
      </c>
      <c r="F135" s="144">
        <v>154872</v>
      </c>
      <c r="G135" s="144">
        <v>0</v>
      </c>
      <c r="H135" s="144">
        <v>154872</v>
      </c>
      <c r="I135" s="146">
        <v>0</v>
      </c>
      <c r="N135" s="135" t="s">
        <v>53</v>
      </c>
    </row>
    <row r="136" spans="2:14" x14ac:dyDescent="0.25">
      <c r="B136" s="1" t="s">
        <v>636</v>
      </c>
      <c r="C136" t="s">
        <v>271</v>
      </c>
      <c r="D136" t="s">
        <v>465</v>
      </c>
      <c r="E136" t="s">
        <v>78</v>
      </c>
      <c r="F136" s="144">
        <v>27373801</v>
      </c>
      <c r="G136" s="144">
        <v>12195361</v>
      </c>
      <c r="H136" s="144">
        <v>15178440</v>
      </c>
      <c r="I136" s="145">
        <v>37084</v>
      </c>
      <c r="N136" s="135" t="s">
        <v>54</v>
      </c>
    </row>
    <row r="137" spans="2:14" x14ac:dyDescent="0.25">
      <c r="B137" s="1" t="s">
        <v>652</v>
      </c>
      <c r="C137" t="s">
        <v>653</v>
      </c>
      <c r="D137" t="s">
        <v>465</v>
      </c>
      <c r="E137" t="s">
        <v>78</v>
      </c>
      <c r="F137" s="144">
        <v>0</v>
      </c>
      <c r="G137" s="144">
        <v>0</v>
      </c>
      <c r="H137" s="144">
        <v>0</v>
      </c>
      <c r="I137" s="146">
        <v>0</v>
      </c>
      <c r="J137" t="s">
        <v>657</v>
      </c>
      <c r="N137" s="135" t="s">
        <v>698</v>
      </c>
    </row>
    <row r="138" spans="2:14" x14ac:dyDescent="0.25">
      <c r="B138" s="1" t="s">
        <v>343</v>
      </c>
      <c r="C138" t="s">
        <v>344</v>
      </c>
      <c r="D138" t="s">
        <v>465</v>
      </c>
      <c r="E138" t="s">
        <v>78</v>
      </c>
      <c r="F138" s="144">
        <v>1127182</v>
      </c>
      <c r="G138" s="144">
        <v>1070294</v>
      </c>
      <c r="H138" s="144">
        <v>56888</v>
      </c>
      <c r="I138" s="146">
        <v>0</v>
      </c>
      <c r="N138" s="135" t="s">
        <v>699</v>
      </c>
    </row>
    <row r="139" spans="2:14" x14ac:dyDescent="0.25">
      <c r="B139" s="1" t="s">
        <v>345</v>
      </c>
      <c r="C139" t="s">
        <v>346</v>
      </c>
      <c r="D139" t="s">
        <v>465</v>
      </c>
      <c r="E139" t="s">
        <v>78</v>
      </c>
      <c r="F139" s="144">
        <v>75519</v>
      </c>
      <c r="G139" s="144">
        <v>0</v>
      </c>
      <c r="H139" s="144">
        <v>75519</v>
      </c>
      <c r="I139" s="146">
        <v>0</v>
      </c>
      <c r="N139" s="135" t="s">
        <v>700</v>
      </c>
    </row>
    <row r="140" spans="2:14" x14ac:dyDescent="0.25">
      <c r="B140" s="1" t="s">
        <v>347</v>
      </c>
      <c r="C140" t="s">
        <v>348</v>
      </c>
      <c r="D140" t="s">
        <v>465</v>
      </c>
      <c r="E140" t="s">
        <v>78</v>
      </c>
      <c r="F140" s="144">
        <v>3862852</v>
      </c>
      <c r="G140" s="144">
        <v>0</v>
      </c>
      <c r="H140" s="144">
        <v>3862852</v>
      </c>
      <c r="I140" s="146">
        <v>0</v>
      </c>
      <c r="N140" s="135" t="s">
        <v>701</v>
      </c>
    </row>
    <row r="141" spans="2:14" x14ac:dyDescent="0.25">
      <c r="B141" s="1" t="s">
        <v>349</v>
      </c>
      <c r="C141" t="s">
        <v>350</v>
      </c>
      <c r="D141" t="s">
        <v>466</v>
      </c>
      <c r="E141" t="s">
        <v>79</v>
      </c>
      <c r="F141" s="144">
        <v>86040</v>
      </c>
      <c r="G141" s="144">
        <v>0</v>
      </c>
      <c r="H141" s="144">
        <v>86040</v>
      </c>
      <c r="I141" s="146">
        <v>0</v>
      </c>
      <c r="N141" s="135" t="s">
        <v>55</v>
      </c>
    </row>
    <row r="142" spans="2:14" x14ac:dyDescent="0.25">
      <c r="B142" s="1" t="s">
        <v>351</v>
      </c>
      <c r="C142" t="s">
        <v>352</v>
      </c>
      <c r="D142" t="s">
        <v>465</v>
      </c>
      <c r="E142" t="s">
        <v>78</v>
      </c>
      <c r="F142" s="144">
        <v>45426</v>
      </c>
      <c r="G142" s="144">
        <v>0</v>
      </c>
      <c r="H142" s="144">
        <v>45426</v>
      </c>
      <c r="I142" s="146">
        <v>0</v>
      </c>
      <c r="N142" s="135" t="s">
        <v>56</v>
      </c>
    </row>
    <row r="143" spans="2:14" x14ac:dyDescent="0.25">
      <c r="B143" s="1" t="s">
        <v>353</v>
      </c>
      <c r="C143" t="s">
        <v>354</v>
      </c>
      <c r="D143" t="s">
        <v>465</v>
      </c>
      <c r="E143" t="s">
        <v>78</v>
      </c>
      <c r="F143" s="144">
        <v>30959</v>
      </c>
      <c r="G143" s="144">
        <v>0</v>
      </c>
      <c r="H143" s="144">
        <v>30959</v>
      </c>
      <c r="I143" s="146">
        <v>0</v>
      </c>
      <c r="N143" s="135" t="s">
        <v>111</v>
      </c>
    </row>
    <row r="144" spans="2:14" x14ac:dyDescent="0.25">
      <c r="B144" s="1" t="s">
        <v>654</v>
      </c>
      <c r="C144" t="s">
        <v>655</v>
      </c>
      <c r="D144" t="s">
        <v>465</v>
      </c>
      <c r="E144" t="s">
        <v>78</v>
      </c>
      <c r="F144" s="144">
        <v>0</v>
      </c>
      <c r="G144" s="144">
        <v>0</v>
      </c>
      <c r="H144" s="144">
        <v>0</v>
      </c>
      <c r="I144" s="146">
        <v>0</v>
      </c>
      <c r="J144" t="s">
        <v>657</v>
      </c>
      <c r="N144" s="135" t="s">
        <v>120</v>
      </c>
    </row>
    <row r="145" spans="2:14" x14ac:dyDescent="0.25">
      <c r="B145" s="1" t="s">
        <v>355</v>
      </c>
      <c r="C145" t="s">
        <v>356</v>
      </c>
      <c r="D145" t="s">
        <v>465</v>
      </c>
      <c r="E145" t="s">
        <v>78</v>
      </c>
      <c r="F145" s="144">
        <v>31505</v>
      </c>
      <c r="G145" s="144">
        <v>0</v>
      </c>
      <c r="H145" s="144">
        <v>31505</v>
      </c>
      <c r="I145" s="146">
        <v>0</v>
      </c>
      <c r="N145" s="135" t="s">
        <v>702</v>
      </c>
    </row>
    <row r="146" spans="2:14" x14ac:dyDescent="0.25">
      <c r="B146" s="1" t="s">
        <v>357</v>
      </c>
      <c r="C146" t="s">
        <v>358</v>
      </c>
      <c r="D146" t="s">
        <v>465</v>
      </c>
      <c r="E146" t="s">
        <v>78</v>
      </c>
      <c r="F146" s="144">
        <v>4610435</v>
      </c>
      <c r="G146" s="144">
        <v>3239426</v>
      </c>
      <c r="H146" s="144">
        <v>1371009</v>
      </c>
      <c r="I146" s="145">
        <v>4377</v>
      </c>
      <c r="N146" s="135" t="s">
        <v>593</v>
      </c>
    </row>
    <row r="147" spans="2:14" x14ac:dyDescent="0.25">
      <c r="B147" s="1" t="s">
        <v>359</v>
      </c>
      <c r="C147" t="s">
        <v>360</v>
      </c>
      <c r="D147" t="s">
        <v>466</v>
      </c>
      <c r="E147" t="s">
        <v>78</v>
      </c>
      <c r="F147" s="144">
        <v>223944</v>
      </c>
      <c r="G147" s="144">
        <v>0</v>
      </c>
      <c r="H147" s="144">
        <v>223944</v>
      </c>
      <c r="I147" s="145">
        <v>2632</v>
      </c>
      <c r="N147" s="135" t="s">
        <v>9</v>
      </c>
    </row>
    <row r="148" spans="2:14" x14ac:dyDescent="0.25">
      <c r="B148" s="1" t="s">
        <v>361</v>
      </c>
      <c r="C148" t="s">
        <v>362</v>
      </c>
      <c r="D148" t="s">
        <v>466</v>
      </c>
      <c r="E148" t="s">
        <v>79</v>
      </c>
      <c r="F148" s="144">
        <v>4376043</v>
      </c>
      <c r="G148" s="144">
        <v>2185690</v>
      </c>
      <c r="H148" s="144">
        <v>2190353</v>
      </c>
      <c r="I148" s="146">
        <v>0</v>
      </c>
      <c r="N148" s="135" t="s">
        <v>114</v>
      </c>
    </row>
    <row r="149" spans="2:14" x14ac:dyDescent="0.25">
      <c r="B149" s="1" t="s">
        <v>363</v>
      </c>
      <c r="C149" t="s">
        <v>364</v>
      </c>
      <c r="D149" t="s">
        <v>466</v>
      </c>
      <c r="E149" t="s">
        <v>79</v>
      </c>
      <c r="F149" s="144">
        <v>0</v>
      </c>
      <c r="G149" s="144">
        <v>0</v>
      </c>
      <c r="H149" s="144">
        <v>0</v>
      </c>
      <c r="I149" s="146">
        <v>0</v>
      </c>
      <c r="N149" s="135" t="s">
        <v>57</v>
      </c>
    </row>
    <row r="150" spans="2:14" x14ac:dyDescent="0.25">
      <c r="B150" s="1" t="s">
        <v>365</v>
      </c>
      <c r="C150" t="s">
        <v>366</v>
      </c>
      <c r="D150" t="s">
        <v>466</v>
      </c>
      <c r="E150" t="s">
        <v>79</v>
      </c>
      <c r="F150" s="144">
        <v>0</v>
      </c>
      <c r="G150" s="144">
        <v>0</v>
      </c>
      <c r="H150" s="144">
        <v>0</v>
      </c>
      <c r="I150" s="146">
        <v>0</v>
      </c>
      <c r="N150" s="135" t="s">
        <v>703</v>
      </c>
    </row>
    <row r="151" spans="2:14" x14ac:dyDescent="0.25">
      <c r="B151" s="1" t="s">
        <v>367</v>
      </c>
      <c r="C151" t="s">
        <v>368</v>
      </c>
      <c r="D151" t="s">
        <v>465</v>
      </c>
      <c r="E151" t="s">
        <v>78</v>
      </c>
      <c r="F151" s="144">
        <v>477455</v>
      </c>
      <c r="G151" s="144">
        <v>115978</v>
      </c>
      <c r="H151" s="144">
        <v>361477</v>
      </c>
      <c r="I151" s="146">
        <v>0</v>
      </c>
      <c r="N151" s="135" t="s">
        <v>704</v>
      </c>
    </row>
    <row r="152" spans="2:14" x14ac:dyDescent="0.25">
      <c r="B152" s="1" t="s">
        <v>369</v>
      </c>
      <c r="C152" t="s">
        <v>370</v>
      </c>
      <c r="D152" t="s">
        <v>466</v>
      </c>
      <c r="E152" t="s">
        <v>79</v>
      </c>
      <c r="F152" s="144">
        <v>69824</v>
      </c>
      <c r="G152" s="144">
        <v>0</v>
      </c>
      <c r="H152" s="144">
        <v>69824</v>
      </c>
      <c r="I152" s="146">
        <v>0</v>
      </c>
      <c r="N152" s="135" t="s">
        <v>705</v>
      </c>
    </row>
    <row r="153" spans="2:14" x14ac:dyDescent="0.25">
      <c r="B153" s="1" t="s">
        <v>371</v>
      </c>
      <c r="C153" t="s">
        <v>372</v>
      </c>
      <c r="D153" t="s">
        <v>466</v>
      </c>
      <c r="E153" t="s">
        <v>79</v>
      </c>
      <c r="F153" s="144">
        <v>0</v>
      </c>
      <c r="G153" s="144">
        <v>0</v>
      </c>
      <c r="H153" s="144">
        <v>0</v>
      </c>
      <c r="I153" s="146">
        <v>0</v>
      </c>
      <c r="N153" s="135" t="s">
        <v>706</v>
      </c>
    </row>
    <row r="154" spans="2:14" x14ac:dyDescent="0.25">
      <c r="B154" s="1" t="s">
        <v>373</v>
      </c>
      <c r="C154" t="s">
        <v>374</v>
      </c>
      <c r="D154" t="s">
        <v>466</v>
      </c>
      <c r="E154" t="s">
        <v>79</v>
      </c>
      <c r="F154" s="144">
        <v>517484</v>
      </c>
      <c r="G154" s="144">
        <v>82333</v>
      </c>
      <c r="H154" s="144">
        <v>435151</v>
      </c>
      <c r="I154" s="146">
        <v>0</v>
      </c>
      <c r="N154" s="135" t="s">
        <v>58</v>
      </c>
    </row>
    <row r="155" spans="2:14" x14ac:dyDescent="0.25">
      <c r="B155" s="1" t="s">
        <v>375</v>
      </c>
      <c r="C155" t="s">
        <v>376</v>
      </c>
      <c r="D155" t="s">
        <v>465</v>
      </c>
      <c r="E155" t="s">
        <v>78</v>
      </c>
      <c r="F155" s="144">
        <v>1520573</v>
      </c>
      <c r="G155" s="144">
        <v>1399806</v>
      </c>
      <c r="H155" s="144">
        <v>120767</v>
      </c>
      <c r="I155" s="146">
        <v>0</v>
      </c>
      <c r="N155" s="135" t="s">
        <v>59</v>
      </c>
    </row>
    <row r="156" spans="2:14" x14ac:dyDescent="0.25">
      <c r="B156" s="1" t="s">
        <v>377</v>
      </c>
      <c r="C156" t="s">
        <v>378</v>
      </c>
      <c r="D156" t="s">
        <v>466</v>
      </c>
      <c r="E156" t="s">
        <v>79</v>
      </c>
      <c r="F156" s="144">
        <v>2734652</v>
      </c>
      <c r="G156" s="144">
        <v>1518161</v>
      </c>
      <c r="H156" s="144">
        <v>1216491</v>
      </c>
      <c r="I156" s="146">
        <v>0</v>
      </c>
      <c r="N156" s="135" t="s">
        <v>60</v>
      </c>
    </row>
    <row r="157" spans="2:14" x14ac:dyDescent="0.25">
      <c r="B157" s="1" t="s">
        <v>379</v>
      </c>
      <c r="C157" t="s">
        <v>380</v>
      </c>
      <c r="D157" t="s">
        <v>465</v>
      </c>
      <c r="E157" t="s">
        <v>79</v>
      </c>
      <c r="F157" s="144">
        <v>0</v>
      </c>
      <c r="G157" s="144">
        <v>0</v>
      </c>
      <c r="H157" s="144">
        <v>0</v>
      </c>
      <c r="I157" s="146">
        <v>0</v>
      </c>
      <c r="N157" s="135" t="s">
        <v>707</v>
      </c>
    </row>
    <row r="158" spans="2:14" x14ac:dyDescent="0.25">
      <c r="B158" s="1" t="s">
        <v>381</v>
      </c>
      <c r="C158" t="s">
        <v>382</v>
      </c>
      <c r="D158" t="s">
        <v>465</v>
      </c>
      <c r="E158" t="s">
        <v>78</v>
      </c>
      <c r="F158" s="144">
        <v>63519356</v>
      </c>
      <c r="G158" s="144">
        <v>24026369</v>
      </c>
      <c r="H158" s="144">
        <v>39492987</v>
      </c>
      <c r="I158" s="145">
        <v>50122</v>
      </c>
      <c r="N158" s="135" t="s">
        <v>61</v>
      </c>
    </row>
    <row r="159" spans="2:14" x14ac:dyDescent="0.25">
      <c r="B159" s="1" t="s">
        <v>383</v>
      </c>
      <c r="C159" t="s">
        <v>384</v>
      </c>
      <c r="D159" t="s">
        <v>465</v>
      </c>
      <c r="E159" t="s">
        <v>78</v>
      </c>
      <c r="F159" s="144">
        <v>1555343</v>
      </c>
      <c r="G159" s="144">
        <v>1097540</v>
      </c>
      <c r="H159" s="144">
        <v>457803</v>
      </c>
      <c r="I159" s="146">
        <v>0</v>
      </c>
      <c r="N159" s="135" t="s">
        <v>594</v>
      </c>
    </row>
    <row r="160" spans="2:14" x14ac:dyDescent="0.25">
      <c r="B160" s="1" t="s">
        <v>385</v>
      </c>
      <c r="C160" t="s">
        <v>386</v>
      </c>
      <c r="D160" t="s">
        <v>466</v>
      </c>
      <c r="E160" t="s">
        <v>79</v>
      </c>
      <c r="F160" s="144">
        <v>373033</v>
      </c>
      <c r="G160" s="144">
        <v>135222</v>
      </c>
      <c r="H160" s="144">
        <v>237811</v>
      </c>
      <c r="I160" s="146">
        <v>0</v>
      </c>
      <c r="N160" s="135" t="s">
        <v>595</v>
      </c>
    </row>
    <row r="161" spans="2:14" x14ac:dyDescent="0.25">
      <c r="B161" s="1" t="s">
        <v>387</v>
      </c>
      <c r="C161" t="s">
        <v>388</v>
      </c>
      <c r="D161" t="s">
        <v>465</v>
      </c>
      <c r="E161" t="s">
        <v>78</v>
      </c>
      <c r="F161" s="144">
        <v>1078852</v>
      </c>
      <c r="G161" s="144">
        <v>707021</v>
      </c>
      <c r="H161" s="144">
        <v>371831</v>
      </c>
      <c r="I161" s="146">
        <v>0</v>
      </c>
      <c r="N161" s="135" t="s">
        <v>116</v>
      </c>
    </row>
    <row r="162" spans="2:14" x14ac:dyDescent="0.25">
      <c r="B162" s="1" t="s">
        <v>389</v>
      </c>
      <c r="C162" t="s">
        <v>390</v>
      </c>
      <c r="D162" t="s">
        <v>466</v>
      </c>
      <c r="E162" t="s">
        <v>79</v>
      </c>
      <c r="F162" s="144">
        <v>240717</v>
      </c>
      <c r="G162" s="144">
        <v>206210</v>
      </c>
      <c r="H162" s="144">
        <v>34507</v>
      </c>
      <c r="I162" s="146">
        <v>0</v>
      </c>
      <c r="N162" s="135" t="s">
        <v>113</v>
      </c>
    </row>
    <row r="163" spans="2:14" x14ac:dyDescent="0.25">
      <c r="B163" s="1" t="s">
        <v>391</v>
      </c>
      <c r="C163" t="s">
        <v>392</v>
      </c>
      <c r="D163" t="s">
        <v>466</v>
      </c>
      <c r="E163" t="s">
        <v>79</v>
      </c>
      <c r="F163" s="144">
        <v>186745</v>
      </c>
      <c r="G163" s="144">
        <v>0</v>
      </c>
      <c r="H163" s="144">
        <v>186745</v>
      </c>
      <c r="I163" s="146">
        <v>0</v>
      </c>
      <c r="N163" s="135" t="s">
        <v>596</v>
      </c>
    </row>
    <row r="164" spans="2:14" x14ac:dyDescent="0.25">
      <c r="B164" s="1" t="s">
        <v>393</v>
      </c>
      <c r="C164" t="s">
        <v>394</v>
      </c>
      <c r="D164" t="s">
        <v>466</v>
      </c>
      <c r="E164" t="s">
        <v>79</v>
      </c>
      <c r="F164" s="144">
        <v>921279</v>
      </c>
      <c r="G164" s="144">
        <v>515887</v>
      </c>
      <c r="H164" s="144">
        <v>405392</v>
      </c>
      <c r="I164" s="146">
        <v>0</v>
      </c>
      <c r="N164" s="135" t="s">
        <v>708</v>
      </c>
    </row>
    <row r="165" spans="2:14" x14ac:dyDescent="0.25">
      <c r="B165" s="1" t="s">
        <v>395</v>
      </c>
      <c r="C165" t="s">
        <v>396</v>
      </c>
      <c r="D165" t="s">
        <v>466</v>
      </c>
      <c r="E165" t="s">
        <v>79</v>
      </c>
      <c r="F165" s="144">
        <v>167861</v>
      </c>
      <c r="G165" s="144">
        <v>112700</v>
      </c>
      <c r="H165" s="144">
        <v>55161</v>
      </c>
      <c r="I165" s="146">
        <v>0</v>
      </c>
      <c r="N165" s="135" t="s">
        <v>102</v>
      </c>
    </row>
    <row r="166" spans="2:14" x14ac:dyDescent="0.25">
      <c r="B166" s="1" t="s">
        <v>397</v>
      </c>
      <c r="C166" t="s">
        <v>398</v>
      </c>
      <c r="D166" t="s">
        <v>465</v>
      </c>
      <c r="E166" t="s">
        <v>78</v>
      </c>
      <c r="F166" s="144">
        <v>34039</v>
      </c>
      <c r="G166" s="144">
        <v>0</v>
      </c>
      <c r="H166" s="144">
        <v>34039</v>
      </c>
      <c r="I166" s="146">
        <v>0</v>
      </c>
      <c r="N166" s="135" t="s">
        <v>612</v>
      </c>
    </row>
    <row r="167" spans="2:14" ht="15.75" thickBot="1" x14ac:dyDescent="0.3">
      <c r="B167" s="2" t="s">
        <v>399</v>
      </c>
      <c r="C167" s="139" t="s">
        <v>400</v>
      </c>
      <c r="D167" s="139" t="s">
        <v>466</v>
      </c>
      <c r="E167" s="139" t="s">
        <v>79</v>
      </c>
      <c r="F167" s="147">
        <v>455</v>
      </c>
      <c r="G167" s="147">
        <v>0</v>
      </c>
      <c r="H167" s="147">
        <v>455</v>
      </c>
      <c r="I167" s="148">
        <v>0</v>
      </c>
      <c r="N167" s="135" t="s">
        <v>709</v>
      </c>
    </row>
    <row r="168" spans="2:14" x14ac:dyDescent="0.25">
      <c r="N168" s="135" t="s">
        <v>62</v>
      </c>
    </row>
    <row r="169" spans="2:14" x14ac:dyDescent="0.25">
      <c r="N169" s="135" t="s">
        <v>710</v>
      </c>
    </row>
    <row r="170" spans="2:14" ht="15.75" thickBot="1" x14ac:dyDescent="0.3">
      <c r="N170" s="136" t="s">
        <v>397</v>
      </c>
    </row>
  </sheetData>
  <sheetProtection algorithmName="SHA-256" hashValue="cPTZ2S1iFZsdx8wtm18J73QW253WeTL3J+St+TmxsJc=" saltValue="/tL7bUt17l4/v7kAJ0Wqfw==" spinCount="100000" sheet="1" objects="1" scenarios="1"/>
  <autoFilter ref="B1:I163" xr:uid="{00000000-0009-0000-0000-000002000000}"/>
  <sortState xmlns:xlrd2="http://schemas.microsoft.com/office/spreadsheetml/2017/richdata2" ref="N3:N163">
    <sortCondition ref="N3"/>
  </sortState>
  <conditionalFormatting sqref="J2:J167">
    <cfRule type="containsText" dxfId="2" priority="2" operator="containsText" text=" ">
      <formula>NOT(ISERROR(SEARCH(" ",J2)))</formula>
    </cfRule>
  </conditionalFormatting>
  <conditionalFormatting sqref="N3:N170">
    <cfRule type="duplicateValues" dxfId="1" priority="1"/>
  </conditionalFormatting>
  <conditionalFormatting sqref="N171:N201">
    <cfRule type="duplicateValues" dxfId="0"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177"/>
  <sheetViews>
    <sheetView topLeftCell="A159" zoomScale="86" zoomScaleNormal="86" workbookViewId="0">
      <selection activeCell="B170" sqref="B170"/>
    </sheetView>
  </sheetViews>
  <sheetFormatPr defaultRowHeight="15" x14ac:dyDescent="0.25"/>
  <cols>
    <col min="1" max="1" width="34.42578125" style="6" customWidth="1"/>
    <col min="2" max="2" width="91.7109375" style="3" customWidth="1"/>
  </cols>
  <sheetData>
    <row r="2" spans="1:2" x14ac:dyDescent="0.25">
      <c r="B2" s="4"/>
    </row>
    <row r="3" spans="1:2" ht="20.25" thickBot="1" x14ac:dyDescent="0.3">
      <c r="A3" s="7"/>
      <c r="B3" s="7" t="s">
        <v>551</v>
      </c>
    </row>
    <row r="4" spans="1:2" ht="105.75" thickTop="1" x14ac:dyDescent="0.25">
      <c r="A4" s="6" t="s">
        <v>82</v>
      </c>
      <c r="B4" s="4" t="s">
        <v>730</v>
      </c>
    </row>
    <row r="5" spans="1:2" ht="90" x14ac:dyDescent="0.25">
      <c r="A5" s="6" t="s">
        <v>552</v>
      </c>
      <c r="B5" s="4" t="s">
        <v>598</v>
      </c>
    </row>
    <row r="11" spans="1:2" ht="20.25" thickBot="1" x14ac:dyDescent="0.3">
      <c r="A11" s="7"/>
      <c r="B11" s="7" t="s">
        <v>63</v>
      </c>
    </row>
    <row r="12" spans="1:2" ht="165.75" thickTop="1" x14ac:dyDescent="0.25">
      <c r="A12" s="6" t="s">
        <v>472</v>
      </c>
      <c r="B12" s="4" t="s">
        <v>711</v>
      </c>
    </row>
    <row r="13" spans="1:2" ht="60" x14ac:dyDescent="0.25">
      <c r="A13" s="6" t="s">
        <v>546</v>
      </c>
      <c r="B13" s="4" t="s">
        <v>731</v>
      </c>
    </row>
    <row r="14" spans="1:2" ht="45" x14ac:dyDescent="0.25">
      <c r="A14" s="6" t="s">
        <v>547</v>
      </c>
      <c r="B14" s="4" t="s">
        <v>553</v>
      </c>
    </row>
    <row r="15" spans="1:2" ht="45" x14ac:dyDescent="0.25">
      <c r="A15" s="6" t="s">
        <v>548</v>
      </c>
      <c r="B15" s="4" t="s">
        <v>554</v>
      </c>
    </row>
    <row r="16" spans="1:2" ht="45" x14ac:dyDescent="0.25">
      <c r="A16" s="6" t="s">
        <v>549</v>
      </c>
      <c r="B16" s="4" t="s">
        <v>555</v>
      </c>
    </row>
    <row r="17" spans="1:2" ht="45" x14ac:dyDescent="0.25">
      <c r="A17" s="6" t="s">
        <v>550</v>
      </c>
      <c r="B17" s="4" t="s">
        <v>556</v>
      </c>
    </row>
    <row r="18" spans="1:2" ht="180" x14ac:dyDescent="0.25">
      <c r="A18" s="6" t="s">
        <v>545</v>
      </c>
      <c r="B18" s="4" t="s">
        <v>724</v>
      </c>
    </row>
    <row r="19" spans="1:2" ht="195" x14ac:dyDescent="0.25">
      <c r="A19" s="6" t="s">
        <v>473</v>
      </c>
      <c r="B19" s="4" t="s">
        <v>557</v>
      </c>
    </row>
    <row r="20" spans="1:2" ht="75" x14ac:dyDescent="0.25">
      <c r="A20" s="6" t="s">
        <v>474</v>
      </c>
      <c r="B20" s="4" t="s">
        <v>712</v>
      </c>
    </row>
    <row r="21" spans="1:2" ht="60" x14ac:dyDescent="0.25">
      <c r="A21" s="6" t="s">
        <v>475</v>
      </c>
      <c r="B21" s="4" t="s">
        <v>558</v>
      </c>
    </row>
    <row r="22" spans="1:2" ht="75" x14ac:dyDescent="0.25">
      <c r="A22" s="6" t="s">
        <v>507</v>
      </c>
      <c r="B22" s="4" t="s">
        <v>508</v>
      </c>
    </row>
    <row r="23" spans="1:2" x14ac:dyDescent="0.25">
      <c r="B23" s="4"/>
    </row>
    <row r="24" spans="1:2" x14ac:dyDescent="0.25">
      <c r="B24" s="4" t="s">
        <v>509</v>
      </c>
    </row>
    <row r="25" spans="1:2" x14ac:dyDescent="0.25">
      <c r="B25" s="4"/>
    </row>
    <row r="26" spans="1:2" ht="20.25" thickBot="1" x14ac:dyDescent="0.3">
      <c r="A26" s="7" t="s">
        <v>80</v>
      </c>
      <c r="B26" s="7" t="s">
        <v>510</v>
      </c>
    </row>
    <row r="27" spans="1:2" ht="60.75" thickTop="1" x14ac:dyDescent="0.25">
      <c r="A27" s="6" t="s">
        <v>82</v>
      </c>
      <c r="B27" s="4" t="s">
        <v>713</v>
      </c>
    </row>
    <row r="28" spans="1:2" ht="90" x14ac:dyDescent="0.25">
      <c r="A28" s="6" t="s">
        <v>476</v>
      </c>
      <c r="B28" s="4" t="s">
        <v>477</v>
      </c>
    </row>
    <row r="29" spans="1:2" ht="60" x14ac:dyDescent="0.25">
      <c r="A29" s="6" t="s">
        <v>478</v>
      </c>
      <c r="B29" s="4" t="s">
        <v>479</v>
      </c>
    </row>
    <row r="30" spans="1:2" x14ac:dyDescent="0.25">
      <c r="B30" s="4"/>
    </row>
    <row r="31" spans="1:2" ht="30" x14ac:dyDescent="0.25">
      <c r="B31" s="4" t="s">
        <v>511</v>
      </c>
    </row>
    <row r="34" spans="1:2" x14ac:dyDescent="0.25">
      <c r="B34" s="3" t="s">
        <v>527</v>
      </c>
    </row>
    <row r="36" spans="1:2" x14ac:dyDescent="0.25">
      <c r="B36" s="3" t="s">
        <v>470</v>
      </c>
    </row>
    <row r="38" spans="1:2" ht="20.25" thickBot="1" x14ac:dyDescent="0.3">
      <c r="A38" s="7" t="s">
        <v>81</v>
      </c>
      <c r="B38" s="8" t="s">
        <v>83</v>
      </c>
    </row>
    <row r="39" spans="1:2" ht="120.75" thickTop="1" x14ac:dyDescent="0.25">
      <c r="A39" s="6" t="s">
        <v>82</v>
      </c>
      <c r="B39" s="4" t="s">
        <v>714</v>
      </c>
    </row>
    <row r="40" spans="1:2" ht="105" x14ac:dyDescent="0.25">
      <c r="A40" s="6" t="s">
        <v>480</v>
      </c>
      <c r="B40" s="4" t="s">
        <v>715</v>
      </c>
    </row>
    <row r="41" spans="1:2" ht="90" x14ac:dyDescent="0.25">
      <c r="A41" s="6" t="s">
        <v>481</v>
      </c>
      <c r="B41" s="4" t="s">
        <v>482</v>
      </c>
    </row>
    <row r="42" spans="1:2" ht="135" x14ac:dyDescent="0.25">
      <c r="A42" s="6" t="s">
        <v>483</v>
      </c>
      <c r="B42" s="4" t="s">
        <v>716</v>
      </c>
    </row>
    <row r="43" spans="1:2" x14ac:dyDescent="0.25">
      <c r="B43" s="4"/>
    </row>
    <row r="44" spans="1:2" x14ac:dyDescent="0.25">
      <c r="B44" s="4" t="s">
        <v>512</v>
      </c>
    </row>
    <row r="46" spans="1:2" ht="15.75" thickBot="1" x14ac:dyDescent="0.3">
      <c r="A46" s="10" t="s">
        <v>84</v>
      </c>
      <c r="B46" s="11" t="s">
        <v>87</v>
      </c>
    </row>
    <row r="47" spans="1:2" x14ac:dyDescent="0.25">
      <c r="B47" t="s">
        <v>528</v>
      </c>
    </row>
    <row r="48" spans="1:2" x14ac:dyDescent="0.25">
      <c r="B48" t="s">
        <v>529</v>
      </c>
    </row>
    <row r="49" spans="2:2" x14ac:dyDescent="0.25">
      <c r="B49" t="s">
        <v>530</v>
      </c>
    </row>
    <row r="50" spans="2:2" x14ac:dyDescent="0.25">
      <c r="B50" t="s">
        <v>531</v>
      </c>
    </row>
    <row r="51" spans="2:2" x14ac:dyDescent="0.25">
      <c r="B51" t="s">
        <v>529</v>
      </c>
    </row>
    <row r="52" spans="2:2" x14ac:dyDescent="0.25">
      <c r="B52" t="s">
        <v>530</v>
      </c>
    </row>
    <row r="53" spans="2:2" x14ac:dyDescent="0.25">
      <c r="B53" t="s">
        <v>532</v>
      </c>
    </row>
    <row r="54" spans="2:2" x14ac:dyDescent="0.25">
      <c r="B54" t="s">
        <v>529</v>
      </c>
    </row>
    <row r="55" spans="2:2" x14ac:dyDescent="0.25">
      <c r="B55" t="s">
        <v>530</v>
      </c>
    </row>
    <row r="57" spans="2:2" x14ac:dyDescent="0.25">
      <c r="B57" s="3" t="s">
        <v>470</v>
      </c>
    </row>
    <row r="59" spans="2:2" x14ac:dyDescent="0.25">
      <c r="B59" s="3" t="s">
        <v>533</v>
      </c>
    </row>
    <row r="60" spans="2:2" x14ac:dyDescent="0.25">
      <c r="B60" s="3" t="s">
        <v>529</v>
      </c>
    </row>
    <row r="61" spans="2:2" x14ac:dyDescent="0.25">
      <c r="B61" s="3" t="s">
        <v>530</v>
      </c>
    </row>
    <row r="62" spans="2:2" x14ac:dyDescent="0.25">
      <c r="B62" s="3" t="s">
        <v>534</v>
      </c>
    </row>
    <row r="63" spans="2:2" x14ac:dyDescent="0.25">
      <c r="B63" s="3" t="s">
        <v>529</v>
      </c>
    </row>
    <row r="64" spans="2:2" x14ac:dyDescent="0.25">
      <c r="B64" s="3" t="s">
        <v>530</v>
      </c>
    </row>
    <row r="65" spans="1:2" x14ac:dyDescent="0.25">
      <c r="B65" s="3" t="s">
        <v>535</v>
      </c>
    </row>
    <row r="66" spans="1:2" x14ac:dyDescent="0.25">
      <c r="B66" s="3" t="s">
        <v>529</v>
      </c>
    </row>
    <row r="67" spans="1:2" x14ac:dyDescent="0.25">
      <c r="B67" s="3" t="s">
        <v>530</v>
      </c>
    </row>
    <row r="69" spans="1:2" x14ac:dyDescent="0.25">
      <c r="B69" s="3" t="s">
        <v>470</v>
      </c>
    </row>
    <row r="71" spans="1:2" ht="15.75" thickBot="1" x14ac:dyDescent="0.3">
      <c r="A71" s="10" t="s">
        <v>86</v>
      </c>
      <c r="B71" s="11" t="s">
        <v>85</v>
      </c>
    </row>
    <row r="72" spans="1:2" x14ac:dyDescent="0.25">
      <c r="B72" s="3" t="s">
        <v>536</v>
      </c>
    </row>
    <row r="73" spans="1:2" x14ac:dyDescent="0.25">
      <c r="B73" s="3" t="s">
        <v>529</v>
      </c>
    </row>
    <row r="74" spans="1:2" x14ac:dyDescent="0.25">
      <c r="B74" s="3" t="s">
        <v>530</v>
      </c>
    </row>
    <row r="75" spans="1:2" x14ac:dyDescent="0.25">
      <c r="B75" s="3" t="s">
        <v>537</v>
      </c>
    </row>
    <row r="76" spans="1:2" x14ac:dyDescent="0.25">
      <c r="B76" s="3" t="s">
        <v>529</v>
      </c>
    </row>
    <row r="77" spans="1:2" x14ac:dyDescent="0.25">
      <c r="B77" s="3" t="s">
        <v>530</v>
      </c>
    </row>
    <row r="78" spans="1:2" x14ac:dyDescent="0.25">
      <c r="B78" s="3" t="s">
        <v>538</v>
      </c>
    </row>
    <row r="79" spans="1:2" x14ac:dyDescent="0.25">
      <c r="B79" s="3" t="s">
        <v>529</v>
      </c>
    </row>
    <row r="80" spans="1:2" x14ac:dyDescent="0.25">
      <c r="B80" s="3" t="s">
        <v>530</v>
      </c>
    </row>
    <row r="82" spans="1:2" x14ac:dyDescent="0.25">
      <c r="B82" s="3" t="s">
        <v>470</v>
      </c>
    </row>
    <row r="84" spans="1:2" x14ac:dyDescent="0.25">
      <c r="B84" s="3" t="s">
        <v>566</v>
      </c>
    </row>
    <row r="85" spans="1:2" x14ac:dyDescent="0.25">
      <c r="B85" s="3" t="s">
        <v>529</v>
      </c>
    </row>
    <row r="86" spans="1:2" x14ac:dyDescent="0.25">
      <c r="B86" s="3" t="s">
        <v>530</v>
      </c>
    </row>
    <row r="87" spans="1:2" x14ac:dyDescent="0.25">
      <c r="B87" s="3" t="s">
        <v>567</v>
      </c>
    </row>
    <row r="88" spans="1:2" x14ac:dyDescent="0.25">
      <c r="B88" s="3" t="s">
        <v>529</v>
      </c>
    </row>
    <row r="89" spans="1:2" x14ac:dyDescent="0.25">
      <c r="B89" s="3" t="s">
        <v>530</v>
      </c>
    </row>
    <row r="90" spans="1:2" x14ac:dyDescent="0.25">
      <c r="B90" s="3" t="s">
        <v>568</v>
      </c>
    </row>
    <row r="91" spans="1:2" x14ac:dyDescent="0.25">
      <c r="B91" s="3" t="s">
        <v>529</v>
      </c>
    </row>
    <row r="92" spans="1:2" x14ac:dyDescent="0.25">
      <c r="B92" s="3" t="s">
        <v>530</v>
      </c>
    </row>
    <row r="94" spans="1:2" x14ac:dyDescent="0.25">
      <c r="B94" s="3" t="s">
        <v>470</v>
      </c>
    </row>
    <row r="96" spans="1:2" ht="20.25" thickBot="1" x14ac:dyDescent="0.3">
      <c r="A96" s="7"/>
      <c r="B96" s="8" t="s">
        <v>484</v>
      </c>
    </row>
    <row r="97" spans="1:2" ht="60.75" thickTop="1" x14ac:dyDescent="0.25">
      <c r="A97" s="6" t="s">
        <v>82</v>
      </c>
      <c r="B97" s="4" t="s">
        <v>559</v>
      </c>
    </row>
    <row r="98" spans="1:2" ht="90" x14ac:dyDescent="0.25">
      <c r="A98" s="6" t="s">
        <v>485</v>
      </c>
      <c r="B98" s="4" t="s">
        <v>597</v>
      </c>
    </row>
    <row r="99" spans="1:2" ht="60" x14ac:dyDescent="0.25">
      <c r="A99" s="6" t="s">
        <v>486</v>
      </c>
      <c r="B99" s="4" t="s">
        <v>487</v>
      </c>
    </row>
    <row r="101" spans="1:2" x14ac:dyDescent="0.25">
      <c r="B101" s="4" t="s">
        <v>513</v>
      </c>
    </row>
    <row r="104" spans="1:2" x14ac:dyDescent="0.25">
      <c r="B104" s="3" t="s">
        <v>539</v>
      </c>
    </row>
    <row r="106" spans="1:2" x14ac:dyDescent="0.25">
      <c r="B106" s="3" t="s">
        <v>470</v>
      </c>
    </row>
    <row r="108" spans="1:2" ht="20.25" thickBot="1" x14ac:dyDescent="0.3">
      <c r="A108" s="7"/>
      <c r="B108" s="8" t="s">
        <v>488</v>
      </c>
    </row>
    <row r="109" spans="1:2" ht="135.75" thickTop="1" x14ac:dyDescent="0.25">
      <c r="A109" s="6" t="s">
        <v>82</v>
      </c>
      <c r="B109" s="4" t="s">
        <v>560</v>
      </c>
    </row>
    <row r="110" spans="1:2" ht="180" x14ac:dyDescent="0.25">
      <c r="A110" s="6" t="s">
        <v>489</v>
      </c>
      <c r="B110" s="4" t="s">
        <v>721</v>
      </c>
    </row>
    <row r="111" spans="1:2" ht="60" x14ac:dyDescent="0.25">
      <c r="A111" s="6" t="s">
        <v>490</v>
      </c>
      <c r="B111" s="4" t="s">
        <v>491</v>
      </c>
    </row>
    <row r="113" spans="1:2" x14ac:dyDescent="0.25">
      <c r="B113" s="4" t="s">
        <v>514</v>
      </c>
    </row>
    <row r="115" spans="1:2" x14ac:dyDescent="0.25">
      <c r="A115"/>
      <c r="B115"/>
    </row>
    <row r="116" spans="1:2" x14ac:dyDescent="0.25">
      <c r="B116" s="3" t="s">
        <v>66</v>
      </c>
    </row>
    <row r="117" spans="1:2" ht="30" x14ac:dyDescent="0.25">
      <c r="B117" s="4" t="s">
        <v>717</v>
      </c>
    </row>
    <row r="118" spans="1:2" x14ac:dyDescent="0.25">
      <c r="B118" s="3" t="s">
        <v>540</v>
      </c>
    </row>
    <row r="119" spans="1:2" ht="30" x14ac:dyDescent="0.25">
      <c r="B119" s="4" t="s">
        <v>718</v>
      </c>
    </row>
    <row r="120" spans="1:2" x14ac:dyDescent="0.25">
      <c r="B120" s="3" t="s">
        <v>561</v>
      </c>
    </row>
    <row r="121" spans="1:2" ht="30" x14ac:dyDescent="0.25">
      <c r="B121" s="4" t="s">
        <v>719</v>
      </c>
    </row>
    <row r="123" spans="1:2" x14ac:dyDescent="0.25">
      <c r="B123" s="3" t="s">
        <v>470</v>
      </c>
    </row>
    <row r="125" spans="1:2" x14ac:dyDescent="0.25">
      <c r="B125" s="3" t="s">
        <v>541</v>
      </c>
    </row>
    <row r="126" spans="1:2" x14ac:dyDescent="0.25">
      <c r="B126" s="3" t="s">
        <v>720</v>
      </c>
    </row>
    <row r="127" spans="1:2" x14ac:dyDescent="0.25">
      <c r="B127" s="3" t="s">
        <v>542</v>
      </c>
    </row>
    <row r="128" spans="1:2" x14ac:dyDescent="0.25">
      <c r="B128" s="3" t="s">
        <v>65</v>
      </c>
    </row>
    <row r="129" spans="1:2" x14ac:dyDescent="0.25">
      <c r="B129" s="3" t="s">
        <v>64</v>
      </c>
    </row>
    <row r="131" spans="1:2" x14ac:dyDescent="0.25">
      <c r="B131" s="3" t="s">
        <v>470</v>
      </c>
    </row>
    <row r="133" spans="1:2" ht="20.25" thickBot="1" x14ac:dyDescent="0.3">
      <c r="A133" s="7"/>
      <c r="B133" s="8" t="s">
        <v>492</v>
      </c>
    </row>
    <row r="134" spans="1:2" ht="195.75" thickTop="1" x14ac:dyDescent="0.25">
      <c r="A134" s="6" t="s">
        <v>82</v>
      </c>
      <c r="B134" s="4" t="s">
        <v>722</v>
      </c>
    </row>
    <row r="135" spans="1:2" ht="90" x14ac:dyDescent="0.25">
      <c r="A135" s="6" t="s">
        <v>493</v>
      </c>
      <c r="B135" s="4" t="s">
        <v>494</v>
      </c>
    </row>
    <row r="136" spans="1:2" ht="75" x14ac:dyDescent="0.25">
      <c r="A136" s="6" t="s">
        <v>495</v>
      </c>
      <c r="B136" s="4" t="s">
        <v>562</v>
      </c>
    </row>
    <row r="137" spans="1:2" ht="75" x14ac:dyDescent="0.25">
      <c r="A137" s="6" t="s">
        <v>496</v>
      </c>
      <c r="B137" s="4" t="s">
        <v>732</v>
      </c>
    </row>
    <row r="138" spans="1:2" ht="60" x14ac:dyDescent="0.25">
      <c r="A138" s="6" t="s">
        <v>497</v>
      </c>
      <c r="B138" s="4" t="s">
        <v>599</v>
      </c>
    </row>
    <row r="139" spans="1:2" ht="330" x14ac:dyDescent="0.25">
      <c r="A139" s="6" t="s">
        <v>518</v>
      </c>
      <c r="B139" s="4" t="s">
        <v>733</v>
      </c>
    </row>
    <row r="141" spans="1:2" x14ac:dyDescent="0.25">
      <c r="B141" s="4" t="s">
        <v>517</v>
      </c>
    </row>
    <row r="142" spans="1:2" x14ac:dyDescent="0.25">
      <c r="B142" s="4"/>
    </row>
    <row r="143" spans="1:2" ht="15.75" thickBot="1" x14ac:dyDescent="0.3">
      <c r="A143" s="10" t="s">
        <v>96</v>
      </c>
      <c r="B143" s="10" t="s">
        <v>97</v>
      </c>
    </row>
    <row r="144" spans="1:2" x14ac:dyDescent="0.25">
      <c r="B144" s="4" t="s">
        <v>543</v>
      </c>
    </row>
    <row r="145" spans="1:2" x14ac:dyDescent="0.25">
      <c r="B145" s="4" t="s">
        <v>544</v>
      </c>
    </row>
    <row r="146" spans="1:2" x14ac:dyDescent="0.25">
      <c r="B146" s="4" t="s">
        <v>12</v>
      </c>
    </row>
    <row r="147" spans="1:2" x14ac:dyDescent="0.25">
      <c r="B147" s="4" t="s">
        <v>544</v>
      </c>
    </row>
    <row r="148" spans="1:2" x14ac:dyDescent="0.25">
      <c r="B148" s="4" t="s">
        <v>13</v>
      </c>
    </row>
    <row r="149" spans="1:2" x14ac:dyDescent="0.25">
      <c r="B149" s="4" t="s">
        <v>544</v>
      </c>
    </row>
    <row r="150" spans="1:2" x14ac:dyDescent="0.25">
      <c r="B150" s="4"/>
    </row>
    <row r="151" spans="1:2" x14ac:dyDescent="0.25">
      <c r="B151" s="4" t="s">
        <v>470</v>
      </c>
    </row>
    <row r="152" spans="1:2" x14ac:dyDescent="0.25">
      <c r="B152" s="4"/>
    </row>
    <row r="153" spans="1:2" ht="15.75" thickBot="1" x14ac:dyDescent="0.3">
      <c r="A153" s="10" t="s">
        <v>99</v>
      </c>
      <c r="B153" s="10" t="s">
        <v>98</v>
      </c>
    </row>
    <row r="154" spans="1:2" x14ac:dyDescent="0.25">
      <c r="B154" s="4" t="s">
        <v>10</v>
      </c>
    </row>
    <row r="155" spans="1:2" x14ac:dyDescent="0.25">
      <c r="B155" s="4" t="s">
        <v>544</v>
      </c>
    </row>
    <row r="156" spans="1:2" x14ac:dyDescent="0.25">
      <c r="B156" s="4"/>
    </row>
    <row r="157" spans="1:2" x14ac:dyDescent="0.25">
      <c r="B157" s="4" t="s">
        <v>470</v>
      </c>
    </row>
    <row r="158" spans="1:2" x14ac:dyDescent="0.25">
      <c r="B158" s="4"/>
    </row>
    <row r="159" spans="1:2" ht="15.75" thickBot="1" x14ac:dyDescent="0.3">
      <c r="A159" s="10" t="s">
        <v>101</v>
      </c>
      <c r="B159" s="10" t="s">
        <v>100</v>
      </c>
    </row>
    <row r="160" spans="1:2" x14ac:dyDescent="0.25">
      <c r="B160" s="4" t="s">
        <v>1</v>
      </c>
    </row>
    <row r="161" spans="1:2" x14ac:dyDescent="0.25">
      <c r="B161" s="4" t="s">
        <v>544</v>
      </c>
    </row>
    <row r="162" spans="1:2" x14ac:dyDescent="0.25">
      <c r="B162" s="4"/>
    </row>
    <row r="163" spans="1:2" x14ac:dyDescent="0.25">
      <c r="B163" s="4" t="s">
        <v>565</v>
      </c>
    </row>
    <row r="164" spans="1:2" x14ac:dyDescent="0.25">
      <c r="B164" s="4"/>
    </row>
    <row r="166" spans="1:2" ht="20.25" thickBot="1" x14ac:dyDescent="0.3">
      <c r="A166" s="7"/>
      <c r="B166" s="8" t="s">
        <v>405</v>
      </c>
    </row>
    <row r="167" spans="1:2" ht="60.75" thickTop="1" x14ac:dyDescent="0.25">
      <c r="B167" s="4" t="s">
        <v>563</v>
      </c>
    </row>
    <row r="168" spans="1:2" ht="20.25" thickBot="1" x14ac:dyDescent="0.35">
      <c r="A168" s="7"/>
      <c r="B168" s="9" t="s">
        <v>498</v>
      </c>
    </row>
    <row r="169" spans="1:2" ht="60.75" thickTop="1" x14ac:dyDescent="0.25">
      <c r="A169" s="6" t="s">
        <v>82</v>
      </c>
      <c r="B169" s="4" t="s">
        <v>723</v>
      </c>
    </row>
    <row r="170" spans="1:2" ht="90" x14ac:dyDescent="0.25">
      <c r="A170" s="6" t="s">
        <v>499</v>
      </c>
      <c r="B170" s="4" t="s">
        <v>564</v>
      </c>
    </row>
    <row r="171" spans="1:2" ht="90" x14ac:dyDescent="0.25">
      <c r="A171" s="6" t="s">
        <v>500</v>
      </c>
      <c r="B171" s="4" t="s">
        <v>734</v>
      </c>
    </row>
    <row r="172" spans="1:2" ht="90" x14ac:dyDescent="0.25">
      <c r="A172" s="6" t="s">
        <v>501</v>
      </c>
      <c r="B172" s="4" t="s">
        <v>725</v>
      </c>
    </row>
    <row r="173" spans="1:2" ht="90" x14ac:dyDescent="0.25">
      <c r="A173" s="6" t="s">
        <v>502</v>
      </c>
      <c r="B173" s="4" t="s">
        <v>726</v>
      </c>
    </row>
    <row r="174" spans="1:2" ht="20.25" thickBot="1" x14ac:dyDescent="0.3">
      <c r="A174" s="7"/>
      <c r="B174" s="8" t="s">
        <v>503</v>
      </c>
    </row>
    <row r="175" spans="1:2" ht="165.75" thickTop="1" x14ac:dyDescent="0.25">
      <c r="A175" s="6" t="s">
        <v>504</v>
      </c>
      <c r="B175" s="4" t="s">
        <v>727</v>
      </c>
    </row>
    <row r="176" spans="1:2" ht="20.25" thickBot="1" x14ac:dyDescent="0.3">
      <c r="A176" s="7"/>
      <c r="B176" s="8" t="s">
        <v>505</v>
      </c>
    </row>
    <row r="177" spans="2:2" ht="180.75" thickTop="1" x14ac:dyDescent="0.25">
      <c r="B177" s="4" t="s">
        <v>728</v>
      </c>
    </row>
  </sheetData>
  <sheetProtection algorithmName="SHA-256" hashValue="NlfcUZDyyPs8u5B+oa5c/yLK/no8DLMb7ENW9nMMa7g=" saltValue="ycG6a4wo2CUWiKkzVoSJo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D489908-9B5F-4C49-8134-7D1FB1E5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FB764A-975B-439F-A8CC-680EDC63A12A}">
  <ds:schemaRefs>
    <ds:schemaRef ds:uri="http://purl.org/dc/elements/1.1/"/>
    <ds:schemaRef ds:uri="http://schemas.openxmlformats.org/package/2006/metadata/core-properties"/>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F52CCD94-742C-47C0-84CE-C67A40F703AA}">
  <ds:schemaRefs>
    <ds:schemaRef ds:uri="http://schemas.microsoft.com/sharepoint/v3/contenttype/forms"/>
  </ds:schemaRefs>
</ds:datastoreItem>
</file>

<file path=customXml/itemProps4.xml><?xml version="1.0" encoding="utf-8"?>
<ds:datastoreItem xmlns:ds="http://schemas.openxmlformats.org/officeDocument/2006/customXml" ds:itemID="{FCFBF859-D7A7-4206-B9C8-1E26F092A57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Entry Form</vt:lpstr>
      <vt:lpstr>Summary</vt:lpstr>
      <vt:lpstr>Formulas</vt:lpstr>
      <vt:lpstr>Text</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malenumbers</vt:lpstr>
      <vt:lpstr>malesum</vt:lpstr>
      <vt:lpstr>O</vt:lpstr>
      <vt:lpstr>onthepanel</vt:lpstr>
      <vt:lpstr>panelfee</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2025-01-20T22:19:53Z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y fmtid="{D5CDD505-2E9C-101B-9397-08002B2CF9AE}" pid="10" name="Jet Reports Function Literals">
    <vt:lpwstr>,	;	,	{	}	[@[{0}]]	1033	3081</vt:lpwstr>
  </property>
</Properties>
</file>